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Заседания\3 заседание\"/>
    </mc:Choice>
  </mc:AlternateContent>
  <bookViews>
    <workbookView xWindow="0" yWindow="0" windowWidth="20490" windowHeight="7755" activeTab="1"/>
  </bookViews>
  <sheets>
    <sheet name="Прил 1 ИП 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'Прил 1 ИП '!$A$1:$IU$382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Area" localSheetId="1">'Приложение 2'!$A$1:$K$80</definedName>
    <definedName name="_xlnm.Print_Titles" localSheetId="0">'Прил 1 ИП '!$6:$7</definedName>
    <definedName name="_xlnm.Print_Titles" localSheetId="1">'Приложение 2'!$8:$10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L8" i="2"/>
  <c r="M8" i="2" s="1"/>
  <c r="N8" i="2"/>
  <c r="O8" i="2"/>
  <c r="P8" i="2"/>
  <c r="Q8" i="2"/>
  <c r="R8" i="2"/>
  <c r="S8" i="2"/>
  <c r="T8" i="2"/>
  <c r="V8" i="2" s="1"/>
  <c r="U8" i="2"/>
  <c r="W8" i="2"/>
  <c r="X8" i="2"/>
  <c r="Y8" i="2" s="1"/>
  <c r="Z8" i="2"/>
  <c r="AA8" i="2"/>
  <c r="AB8" i="2"/>
  <c r="AC8" i="2"/>
  <c r="AD8" i="2"/>
  <c r="AE8" i="2"/>
  <c r="I8" i="2"/>
  <c r="H8" i="2"/>
  <c r="K107" i="2"/>
  <c r="L107" i="2"/>
  <c r="M107" i="2"/>
  <c r="N107" i="2"/>
  <c r="P107" i="2" s="1"/>
  <c r="O107" i="2"/>
  <c r="Q107" i="2"/>
  <c r="R107" i="2"/>
  <c r="S107" i="2" s="1"/>
  <c r="T107" i="2"/>
  <c r="U107" i="2"/>
  <c r="V107" i="2"/>
  <c r="W107" i="2"/>
  <c r="X107" i="2"/>
  <c r="Y107" i="2"/>
  <c r="Z107" i="2"/>
  <c r="AB107" i="2" s="1"/>
  <c r="AA107" i="2"/>
  <c r="AC107" i="2"/>
  <c r="AD107" i="2"/>
  <c r="AE107" i="2" s="1"/>
  <c r="I107" i="2"/>
  <c r="I106" i="2"/>
  <c r="H107" i="2"/>
  <c r="K128" i="2"/>
  <c r="L128" i="2"/>
  <c r="M128" i="2" s="1"/>
  <c r="N128" i="2"/>
  <c r="O128" i="2"/>
  <c r="P128" i="2"/>
  <c r="Q128" i="2"/>
  <c r="R128" i="2"/>
  <c r="S128" i="2"/>
  <c r="T128" i="2"/>
  <c r="V128" i="2" s="1"/>
  <c r="U128" i="2"/>
  <c r="W128" i="2"/>
  <c r="X128" i="2"/>
  <c r="Y128" i="2" s="1"/>
  <c r="Z128" i="2"/>
  <c r="AA128" i="2"/>
  <c r="AB128" i="2"/>
  <c r="AC128" i="2"/>
  <c r="AD128" i="2"/>
  <c r="AE128" i="2"/>
  <c r="I128" i="2"/>
  <c r="H128" i="2"/>
  <c r="K136" i="2"/>
  <c r="L136" i="2"/>
  <c r="M136" i="2" s="1"/>
  <c r="N136" i="2"/>
  <c r="O136" i="2"/>
  <c r="P136" i="2"/>
  <c r="Q136" i="2"/>
  <c r="R136" i="2"/>
  <c r="S136" i="2"/>
  <c r="T136" i="2"/>
  <c r="V136" i="2" s="1"/>
  <c r="U136" i="2"/>
  <c r="W136" i="2"/>
  <c r="X136" i="2"/>
  <c r="Y136" i="2" s="1"/>
  <c r="Z136" i="2"/>
  <c r="AA136" i="2"/>
  <c r="AB136" i="2"/>
  <c r="AC136" i="2"/>
  <c r="AD136" i="2"/>
  <c r="AE136" i="2"/>
  <c r="I136" i="2"/>
  <c r="H136" i="2"/>
  <c r="K236" i="2"/>
  <c r="L236" i="2"/>
  <c r="M236" i="2" s="1"/>
  <c r="N236" i="2"/>
  <c r="O236" i="2"/>
  <c r="P236" i="2"/>
  <c r="Q236" i="2"/>
  <c r="R236" i="2"/>
  <c r="S236" i="2"/>
  <c r="T236" i="2"/>
  <c r="V236" i="2" s="1"/>
  <c r="U236" i="2"/>
  <c r="W236" i="2"/>
  <c r="X236" i="2"/>
  <c r="Y236" i="2" s="1"/>
  <c r="Z236" i="2"/>
  <c r="AA236" i="2"/>
  <c r="AB236" i="2"/>
  <c r="AC236" i="2"/>
  <c r="AD236" i="2"/>
  <c r="AE236" i="2"/>
  <c r="I236" i="2"/>
  <c r="H236" i="2"/>
  <c r="K342" i="2"/>
  <c r="L342" i="2"/>
  <c r="M342" i="2" s="1"/>
  <c r="N342" i="2"/>
  <c r="O342" i="2"/>
  <c r="P342" i="2"/>
  <c r="Q342" i="2"/>
  <c r="R342" i="2"/>
  <c r="S342" i="2"/>
  <c r="T342" i="2"/>
  <c r="V342" i="2" s="1"/>
  <c r="U342" i="2"/>
  <c r="W342" i="2"/>
  <c r="X342" i="2"/>
  <c r="Y342" i="2" s="1"/>
  <c r="Z342" i="2"/>
  <c r="AA342" i="2"/>
  <c r="AB342" i="2"/>
  <c r="AC342" i="2"/>
  <c r="AD342" i="2"/>
  <c r="AE342" i="2"/>
  <c r="I342" i="2"/>
  <c r="H342" i="2"/>
  <c r="K67" i="3" l="1"/>
  <c r="I67" i="3"/>
  <c r="K65" i="3"/>
  <c r="J65" i="3"/>
  <c r="I65" i="3"/>
  <c r="H65" i="3"/>
  <c r="F65" i="3"/>
  <c r="D65" i="3"/>
  <c r="K64" i="3"/>
  <c r="I64" i="3"/>
  <c r="K63" i="3"/>
  <c r="I63" i="3"/>
  <c r="K61" i="3"/>
  <c r="I61" i="3"/>
  <c r="K60" i="3"/>
  <c r="I60" i="3"/>
  <c r="K59" i="3"/>
  <c r="I59" i="3"/>
  <c r="K58" i="3"/>
  <c r="I58" i="3"/>
  <c r="I57" i="3" s="1"/>
  <c r="K57" i="3"/>
  <c r="J57" i="3"/>
  <c r="H57" i="3"/>
  <c r="G57" i="3"/>
  <c r="G54" i="3" s="1"/>
  <c r="F57" i="3"/>
  <c r="E57" i="3"/>
  <c r="D57" i="3"/>
  <c r="K56" i="3"/>
  <c r="K55" i="3" s="1"/>
  <c r="I56" i="3"/>
  <c r="J55" i="3"/>
  <c r="I55" i="3"/>
  <c r="H55" i="3"/>
  <c r="G55" i="3"/>
  <c r="F55" i="3"/>
  <c r="E55" i="3"/>
  <c r="E54" i="3" s="1"/>
  <c r="D55" i="3"/>
  <c r="J54" i="3"/>
  <c r="F54" i="3"/>
  <c r="K52" i="3"/>
  <c r="I52" i="3"/>
  <c r="K51" i="3"/>
  <c r="I51" i="3"/>
  <c r="K50" i="3"/>
  <c r="I50" i="3"/>
  <c r="K49" i="3"/>
  <c r="I49" i="3"/>
  <c r="J48" i="3"/>
  <c r="J42" i="3" s="1"/>
  <c r="I48" i="3"/>
  <c r="H48" i="3"/>
  <c r="G48" i="3"/>
  <c r="F48" i="3"/>
  <c r="E48" i="3"/>
  <c r="E42" i="3" s="1"/>
  <c r="D48" i="3"/>
  <c r="K47" i="3"/>
  <c r="I47" i="3"/>
  <c r="K46" i="3"/>
  <c r="I46" i="3"/>
  <c r="K45" i="3"/>
  <c r="I45" i="3"/>
  <c r="I44" i="3" s="1"/>
  <c r="K44" i="3"/>
  <c r="J44" i="3"/>
  <c r="H44" i="3"/>
  <c r="H42" i="3" s="1"/>
  <c r="G44" i="3"/>
  <c r="F44" i="3"/>
  <c r="E44" i="3"/>
  <c r="D44" i="3"/>
  <c r="G42" i="3"/>
  <c r="D42" i="3"/>
  <c r="K40" i="3"/>
  <c r="J40" i="3"/>
  <c r="I40" i="3"/>
  <c r="H40" i="3"/>
  <c r="K38" i="3"/>
  <c r="J38" i="3"/>
  <c r="I38" i="3"/>
  <c r="H38" i="3"/>
  <c r="F38" i="3"/>
  <c r="D38" i="3"/>
  <c r="K37" i="3"/>
  <c r="I37" i="3"/>
  <c r="K36" i="3"/>
  <c r="I36" i="3"/>
  <c r="K34" i="3"/>
  <c r="J34" i="3"/>
  <c r="I34" i="3"/>
  <c r="H34" i="3"/>
  <c r="G34" i="3"/>
  <c r="F34" i="3"/>
  <c r="E34" i="3"/>
  <c r="D34" i="3"/>
  <c r="K30" i="3"/>
  <c r="J30" i="3"/>
  <c r="I30" i="3"/>
  <c r="H30" i="3"/>
  <c r="F30" i="3"/>
  <c r="D30" i="3"/>
  <c r="K28" i="3"/>
  <c r="J28" i="3"/>
  <c r="I28" i="3"/>
  <c r="H28" i="3"/>
  <c r="G28" i="3"/>
  <c r="F28" i="3"/>
  <c r="K26" i="3"/>
  <c r="J26" i="3"/>
  <c r="I26" i="3"/>
  <c r="H26" i="3"/>
  <c r="F26" i="3"/>
  <c r="D26" i="3"/>
  <c r="K25" i="3"/>
  <c r="I25" i="3"/>
  <c r="K24" i="3"/>
  <c r="J24" i="3"/>
  <c r="J22" i="3" s="1"/>
  <c r="I24" i="3"/>
  <c r="I22" i="3" s="1"/>
  <c r="H24" i="3"/>
  <c r="F24" i="3"/>
  <c r="F22" i="3" s="1"/>
  <c r="D24" i="3"/>
  <c r="D22" i="3" s="1"/>
  <c r="K22" i="3"/>
  <c r="H22" i="3"/>
  <c r="G22" i="3"/>
  <c r="E22" i="3"/>
  <c r="J18" i="3"/>
  <c r="H18" i="3"/>
  <c r="F18" i="3"/>
  <c r="D18" i="3"/>
  <c r="K16" i="3"/>
  <c r="J16" i="3"/>
  <c r="I16" i="3"/>
  <c r="H16" i="3"/>
  <c r="F16" i="3"/>
  <c r="D16" i="3"/>
  <c r="K14" i="3"/>
  <c r="J14" i="3"/>
  <c r="I14" i="3"/>
  <c r="H14" i="3"/>
  <c r="F14" i="3"/>
  <c r="D14" i="3"/>
  <c r="AE366" i="2"/>
  <c r="AB366" i="2"/>
  <c r="Y366" i="2"/>
  <c r="V366" i="2"/>
  <c r="S366" i="2"/>
  <c r="P366" i="2"/>
  <c r="M366" i="2"/>
  <c r="J366" i="2"/>
  <c r="F366" i="2"/>
  <c r="E366" i="2"/>
  <c r="AE365" i="2"/>
  <c r="AB365" i="2"/>
  <c r="Y365" i="2"/>
  <c r="V365" i="2"/>
  <c r="S365" i="2"/>
  <c r="G365" i="2" s="1"/>
  <c r="P365" i="2"/>
  <c r="M365" i="2"/>
  <c r="J365" i="2"/>
  <c r="F365" i="2"/>
  <c r="E365" i="2"/>
  <c r="AD364" i="2"/>
  <c r="AC364" i="2"/>
  <c r="AC363" i="2" s="1"/>
  <c r="AA364" i="2"/>
  <c r="Z364" i="2"/>
  <c r="Z363" i="2" s="1"/>
  <c r="X364" i="2"/>
  <c r="W364" i="2"/>
  <c r="W363" i="2" s="1"/>
  <c r="U364" i="2"/>
  <c r="T364" i="2"/>
  <c r="T363" i="2" s="1"/>
  <c r="R364" i="2"/>
  <c r="Q364" i="2"/>
  <c r="O364" i="2"/>
  <c r="N364" i="2"/>
  <c r="N363" i="2" s="1"/>
  <c r="L364" i="2"/>
  <c r="K364" i="2"/>
  <c r="K363" i="2" s="1"/>
  <c r="I364" i="2"/>
  <c r="F364" i="2" s="1"/>
  <c r="H364" i="2"/>
  <c r="H363" i="2" s="1"/>
  <c r="L363" i="2"/>
  <c r="AE362" i="2"/>
  <c r="AB362" i="2"/>
  <c r="Y362" i="2"/>
  <c r="V362" i="2"/>
  <c r="S362" i="2"/>
  <c r="P362" i="2"/>
  <c r="M362" i="2"/>
  <c r="J362" i="2"/>
  <c r="F362" i="2"/>
  <c r="E362" i="2"/>
  <c r="AD361" i="2"/>
  <c r="AC361" i="2"/>
  <c r="AC360" i="2" s="1"/>
  <c r="AA361" i="2"/>
  <c r="Z361" i="2"/>
  <c r="Z360" i="2" s="1"/>
  <c r="X361" i="2"/>
  <c r="W361" i="2"/>
  <c r="W360" i="2" s="1"/>
  <c r="U361" i="2"/>
  <c r="U360" i="2" s="1"/>
  <c r="T361" i="2"/>
  <c r="T360" i="2" s="1"/>
  <c r="R361" i="2"/>
  <c r="R360" i="2" s="1"/>
  <c r="Q361" i="2"/>
  <c r="Q360" i="2" s="1"/>
  <c r="O361" i="2"/>
  <c r="N361" i="2"/>
  <c r="N360" i="2" s="1"/>
  <c r="L361" i="2"/>
  <c r="K361" i="2"/>
  <c r="K360" i="2" s="1"/>
  <c r="I361" i="2"/>
  <c r="H361" i="2"/>
  <c r="AE359" i="2"/>
  <c r="AB359" i="2"/>
  <c r="Y359" i="2"/>
  <c r="V359" i="2"/>
  <c r="S359" i="2"/>
  <c r="P359" i="2"/>
  <c r="M359" i="2"/>
  <c r="J359" i="2"/>
  <c r="F359" i="2"/>
  <c r="E359" i="2"/>
  <c r="AD358" i="2"/>
  <c r="AC358" i="2"/>
  <c r="AA358" i="2"/>
  <c r="Z358" i="2"/>
  <c r="X358" i="2"/>
  <c r="W358" i="2"/>
  <c r="U358" i="2"/>
  <c r="T358" i="2"/>
  <c r="R358" i="2"/>
  <c r="Q358" i="2"/>
  <c r="O358" i="2"/>
  <c r="N358" i="2"/>
  <c r="L358" i="2"/>
  <c r="K358" i="2"/>
  <c r="I358" i="2"/>
  <c r="H358" i="2"/>
  <c r="AE357" i="2"/>
  <c r="AB357" i="2"/>
  <c r="Y357" i="2"/>
  <c r="V357" i="2"/>
  <c r="S357" i="2"/>
  <c r="P357" i="2"/>
  <c r="M357" i="2"/>
  <c r="J357" i="2"/>
  <c r="F357" i="2"/>
  <c r="E357" i="2"/>
  <c r="AE356" i="2"/>
  <c r="AB356" i="2"/>
  <c r="Y356" i="2"/>
  <c r="V356" i="2"/>
  <c r="S356" i="2"/>
  <c r="P356" i="2"/>
  <c r="M356" i="2"/>
  <c r="J356" i="2"/>
  <c r="F356" i="2"/>
  <c r="E356" i="2"/>
  <c r="AE355" i="2"/>
  <c r="AB355" i="2"/>
  <c r="Y355" i="2"/>
  <c r="V355" i="2"/>
  <c r="S355" i="2"/>
  <c r="P355" i="2"/>
  <c r="M355" i="2"/>
  <c r="J355" i="2"/>
  <c r="F355" i="2"/>
  <c r="E355" i="2"/>
  <c r="AE354" i="2"/>
  <c r="AB354" i="2"/>
  <c r="Y354" i="2"/>
  <c r="V354" i="2"/>
  <c r="S354" i="2"/>
  <c r="P354" i="2"/>
  <c r="M354" i="2"/>
  <c r="J354" i="2"/>
  <c r="F354" i="2"/>
  <c r="E354" i="2"/>
  <c r="AD353" i="2"/>
  <c r="AC353" i="2"/>
  <c r="AA353" i="2"/>
  <c r="AA352" i="2" s="1"/>
  <c r="Z353" i="2"/>
  <c r="Z352" i="2" s="1"/>
  <c r="X353" i="2"/>
  <c r="W353" i="2"/>
  <c r="W352" i="2" s="1"/>
  <c r="U353" i="2"/>
  <c r="U352" i="2" s="1"/>
  <c r="T353" i="2"/>
  <c r="R353" i="2"/>
  <c r="R352" i="2" s="1"/>
  <c r="Q353" i="2"/>
  <c r="Q352" i="2" s="1"/>
  <c r="O353" i="2"/>
  <c r="N353" i="2"/>
  <c r="L353" i="2"/>
  <c r="K353" i="2"/>
  <c r="K352" i="2" s="1"/>
  <c r="I353" i="2"/>
  <c r="H353" i="2"/>
  <c r="AD352" i="2"/>
  <c r="AC352" i="2"/>
  <c r="I352" i="2"/>
  <c r="AE351" i="2"/>
  <c r="AB351" i="2"/>
  <c r="Y351" i="2"/>
  <c r="V351" i="2"/>
  <c r="S351" i="2"/>
  <c r="P351" i="2"/>
  <c r="M351" i="2"/>
  <c r="J351" i="2"/>
  <c r="F351" i="2"/>
  <c r="E351" i="2"/>
  <c r="AE350" i="2"/>
  <c r="AB350" i="2"/>
  <c r="Y350" i="2"/>
  <c r="V350" i="2"/>
  <c r="S350" i="2"/>
  <c r="P350" i="2"/>
  <c r="M350" i="2"/>
  <c r="J350" i="2"/>
  <c r="F350" i="2"/>
  <c r="E350" i="2"/>
  <c r="AD349" i="2"/>
  <c r="AD348" i="2" s="1"/>
  <c r="AE348" i="2" s="1"/>
  <c r="AC349" i="2"/>
  <c r="AC348" i="2" s="1"/>
  <c r="AA349" i="2"/>
  <c r="Z349" i="2"/>
  <c r="X349" i="2"/>
  <c r="W349" i="2"/>
  <c r="U349" i="2"/>
  <c r="T349" i="2"/>
  <c r="T348" i="2" s="1"/>
  <c r="R349" i="2"/>
  <c r="R348" i="2" s="1"/>
  <c r="S348" i="2" s="1"/>
  <c r="Q349" i="2"/>
  <c r="Q348" i="2" s="1"/>
  <c r="O349" i="2"/>
  <c r="O348" i="2" s="1"/>
  <c r="N349" i="2"/>
  <c r="N348" i="2" s="1"/>
  <c r="L349" i="2"/>
  <c r="L348" i="2" s="1"/>
  <c r="K349" i="2"/>
  <c r="I349" i="2"/>
  <c r="H349" i="2"/>
  <c r="Z348" i="2"/>
  <c r="W348" i="2"/>
  <c r="H348" i="2"/>
  <c r="AE347" i="2"/>
  <c r="AB347" i="2"/>
  <c r="Y347" i="2"/>
  <c r="V347" i="2"/>
  <c r="S347" i="2"/>
  <c r="P347" i="2"/>
  <c r="O347" i="2"/>
  <c r="M347" i="2"/>
  <c r="J347" i="2"/>
  <c r="F347" i="2"/>
  <c r="E347" i="2"/>
  <c r="AE346" i="2"/>
  <c r="AB346" i="2"/>
  <c r="Y346" i="2"/>
  <c r="V346" i="2"/>
  <c r="S346" i="2"/>
  <c r="P346" i="2"/>
  <c r="M346" i="2"/>
  <c r="J346" i="2"/>
  <c r="F346" i="2"/>
  <c r="E346" i="2"/>
  <c r="AE345" i="2"/>
  <c r="AB345" i="2"/>
  <c r="Y345" i="2"/>
  <c r="V345" i="2"/>
  <c r="S345" i="2"/>
  <c r="P345" i="2"/>
  <c r="M345" i="2"/>
  <c r="J345" i="2"/>
  <c r="F345" i="2"/>
  <c r="E345" i="2"/>
  <c r="AD344" i="2"/>
  <c r="AC344" i="2"/>
  <c r="AA344" i="2"/>
  <c r="Z344" i="2"/>
  <c r="Z343" i="2" s="1"/>
  <c r="X344" i="2"/>
  <c r="X343" i="2" s="1"/>
  <c r="W344" i="2"/>
  <c r="U344" i="2"/>
  <c r="T344" i="2"/>
  <c r="T343" i="2" s="1"/>
  <c r="R344" i="2"/>
  <c r="R343" i="2" s="1"/>
  <c r="Q344" i="2"/>
  <c r="Q343" i="2" s="1"/>
  <c r="O344" i="2"/>
  <c r="N344" i="2"/>
  <c r="L344" i="2"/>
  <c r="L343" i="2" s="1"/>
  <c r="K344" i="2"/>
  <c r="K343" i="2" s="1"/>
  <c r="I344" i="2"/>
  <c r="H344" i="2"/>
  <c r="H343" i="2" s="1"/>
  <c r="AD343" i="2"/>
  <c r="N343" i="2"/>
  <c r="AE341" i="2"/>
  <c r="AB341" i="2"/>
  <c r="Y341" i="2"/>
  <c r="V341" i="2"/>
  <c r="R341" i="2"/>
  <c r="S341" i="2" s="1"/>
  <c r="Q341" i="2"/>
  <c r="P341" i="2"/>
  <c r="M341" i="2"/>
  <c r="J341" i="2"/>
  <c r="E341" i="2"/>
  <c r="AE340" i="2"/>
  <c r="AB340" i="2"/>
  <c r="Y340" i="2"/>
  <c r="V340" i="2"/>
  <c r="R340" i="2"/>
  <c r="Q340" i="2"/>
  <c r="P340" i="2"/>
  <c r="M340" i="2"/>
  <c r="J340" i="2"/>
  <c r="F340" i="2"/>
  <c r="AD339" i="2"/>
  <c r="AC339" i="2"/>
  <c r="AA339" i="2"/>
  <c r="Z339" i="2"/>
  <c r="AB339" i="2" s="1"/>
  <c r="X339" i="2"/>
  <c r="W339" i="2"/>
  <c r="U339" i="2"/>
  <c r="T339" i="2"/>
  <c r="O339" i="2"/>
  <c r="N339" i="2"/>
  <c r="L339" i="2"/>
  <c r="K339" i="2"/>
  <c r="I339" i="2"/>
  <c r="H339" i="2"/>
  <c r="AE338" i="2"/>
  <c r="AB338" i="2"/>
  <c r="Y338" i="2"/>
  <c r="V338" i="2"/>
  <c r="S338" i="2"/>
  <c r="P338" i="2"/>
  <c r="M338" i="2"/>
  <c r="J338" i="2"/>
  <c r="F338" i="2"/>
  <c r="E338" i="2"/>
  <c r="AE337" i="2"/>
  <c r="AB337" i="2"/>
  <c r="Y337" i="2"/>
  <c r="V337" i="2"/>
  <c r="S337" i="2"/>
  <c r="P337" i="2"/>
  <c r="M337" i="2"/>
  <c r="J337" i="2"/>
  <c r="F337" i="2"/>
  <c r="E337" i="2"/>
  <c r="AE336" i="2"/>
  <c r="AB336" i="2"/>
  <c r="Y336" i="2"/>
  <c r="V336" i="2"/>
  <c r="S336" i="2"/>
  <c r="P336" i="2"/>
  <c r="M336" i="2"/>
  <c r="J336" i="2"/>
  <c r="F336" i="2"/>
  <c r="E336" i="2"/>
  <c r="AD335" i="2"/>
  <c r="AC335" i="2"/>
  <c r="AA335" i="2"/>
  <c r="Z335" i="2"/>
  <c r="X335" i="2"/>
  <c r="W335" i="2"/>
  <c r="U335" i="2"/>
  <c r="T335" i="2"/>
  <c r="R335" i="2"/>
  <c r="Q335" i="2"/>
  <c r="O335" i="2"/>
  <c r="N335" i="2"/>
  <c r="L335" i="2"/>
  <c r="K335" i="2"/>
  <c r="I335" i="2"/>
  <c r="H335" i="2"/>
  <c r="AE334" i="2"/>
  <c r="AB334" i="2"/>
  <c r="Y334" i="2"/>
  <c r="V334" i="2"/>
  <c r="S334" i="2"/>
  <c r="P334" i="2"/>
  <c r="M334" i="2"/>
  <c r="J334" i="2"/>
  <c r="F334" i="2"/>
  <c r="E334" i="2"/>
  <c r="AE333" i="2"/>
  <c r="AB333" i="2"/>
  <c r="Y333" i="2"/>
  <c r="V333" i="2"/>
  <c r="S333" i="2"/>
  <c r="P333" i="2"/>
  <c r="M333" i="2"/>
  <c r="J333" i="2"/>
  <c r="F333" i="2"/>
  <c r="E333" i="2"/>
  <c r="AE332" i="2"/>
  <c r="AB332" i="2"/>
  <c r="Y332" i="2"/>
  <c r="V332" i="2"/>
  <c r="S332" i="2"/>
  <c r="P332" i="2"/>
  <c r="M332" i="2"/>
  <c r="J332" i="2"/>
  <c r="F332" i="2"/>
  <c r="E332" i="2"/>
  <c r="AE331" i="2"/>
  <c r="AB331" i="2"/>
  <c r="Y331" i="2"/>
  <c r="V331" i="2"/>
  <c r="R331" i="2"/>
  <c r="F331" i="2" s="1"/>
  <c r="Q331" i="2"/>
  <c r="Q330" i="2" s="1"/>
  <c r="P331" i="2"/>
  <c r="M331" i="2"/>
  <c r="J331" i="2"/>
  <c r="E331" i="2"/>
  <c r="AD330" i="2"/>
  <c r="AC330" i="2"/>
  <c r="AA330" i="2"/>
  <c r="Z330" i="2"/>
  <c r="X330" i="2"/>
  <c r="W330" i="2"/>
  <c r="U330" i="2"/>
  <c r="T330" i="2"/>
  <c r="O330" i="2"/>
  <c r="N330" i="2"/>
  <c r="L330" i="2"/>
  <c r="K330" i="2"/>
  <c r="I330" i="2"/>
  <c r="H330" i="2"/>
  <c r="AE329" i="2"/>
  <c r="AB329" i="2"/>
  <c r="Y329" i="2"/>
  <c r="V329" i="2"/>
  <c r="S329" i="2"/>
  <c r="P329" i="2"/>
  <c r="M329" i="2"/>
  <c r="J329" i="2"/>
  <c r="F329" i="2"/>
  <c r="E329" i="2"/>
  <c r="AD328" i="2"/>
  <c r="AC328" i="2"/>
  <c r="AA328" i="2"/>
  <c r="Z328" i="2"/>
  <c r="X328" i="2"/>
  <c r="W328" i="2"/>
  <c r="U328" i="2"/>
  <c r="T328" i="2"/>
  <c r="R328" i="2"/>
  <c r="Q328" i="2"/>
  <c r="O328" i="2"/>
  <c r="N328" i="2"/>
  <c r="L328" i="2"/>
  <c r="K328" i="2"/>
  <c r="I328" i="2"/>
  <c r="H328" i="2"/>
  <c r="T327" i="2"/>
  <c r="AE326" i="2"/>
  <c r="AB326" i="2"/>
  <c r="Y326" i="2"/>
  <c r="V326" i="2"/>
  <c r="S326" i="2"/>
  <c r="P326" i="2"/>
  <c r="M326" i="2"/>
  <c r="J326" i="2"/>
  <c r="F326" i="2"/>
  <c r="E326" i="2"/>
  <c r="AE325" i="2"/>
  <c r="AB325" i="2"/>
  <c r="Y325" i="2"/>
  <c r="V325" i="2"/>
  <c r="S325" i="2"/>
  <c r="P325" i="2"/>
  <c r="M325" i="2"/>
  <c r="J325" i="2"/>
  <c r="F325" i="2"/>
  <c r="E325" i="2"/>
  <c r="AE324" i="2"/>
  <c r="AB324" i="2"/>
  <c r="Y324" i="2"/>
  <c r="V324" i="2"/>
  <c r="S324" i="2"/>
  <c r="P324" i="2"/>
  <c r="M324" i="2"/>
  <c r="J324" i="2"/>
  <c r="F324" i="2"/>
  <c r="E324" i="2"/>
  <c r="AD323" i="2"/>
  <c r="AC323" i="2"/>
  <c r="AA323" i="2"/>
  <c r="Z323" i="2"/>
  <c r="X323" i="2"/>
  <c r="W323" i="2"/>
  <c r="U323" i="2"/>
  <c r="T323" i="2"/>
  <c r="R323" i="2"/>
  <c r="Q323" i="2"/>
  <c r="O323" i="2"/>
  <c r="N323" i="2"/>
  <c r="L323" i="2"/>
  <c r="K323" i="2"/>
  <c r="I323" i="2"/>
  <c r="H323" i="2"/>
  <c r="AE322" i="2"/>
  <c r="AB322" i="2"/>
  <c r="Y322" i="2"/>
  <c r="V322" i="2"/>
  <c r="S322" i="2"/>
  <c r="P322" i="2"/>
  <c r="M322" i="2"/>
  <c r="J322" i="2"/>
  <c r="F322" i="2"/>
  <c r="E322" i="2"/>
  <c r="AE321" i="2"/>
  <c r="AB321" i="2"/>
  <c r="Y321" i="2"/>
  <c r="V321" i="2"/>
  <c r="S321" i="2"/>
  <c r="P321" i="2"/>
  <c r="M321" i="2"/>
  <c r="J321" i="2"/>
  <c r="F321" i="2"/>
  <c r="E321" i="2"/>
  <c r="AD320" i="2"/>
  <c r="AC320" i="2"/>
  <c r="AA320" i="2"/>
  <c r="Z320" i="2"/>
  <c r="X320" i="2"/>
  <c r="W320" i="2"/>
  <c r="U320" i="2"/>
  <c r="T320" i="2"/>
  <c r="R320" i="2"/>
  <c r="Q320" i="2"/>
  <c r="O320" i="2"/>
  <c r="N320" i="2"/>
  <c r="L320" i="2"/>
  <c r="K320" i="2"/>
  <c r="I320" i="2"/>
  <c r="H320" i="2"/>
  <c r="AE319" i="2"/>
  <c r="AB319" i="2"/>
  <c r="Y319" i="2"/>
  <c r="V319" i="2"/>
  <c r="S319" i="2"/>
  <c r="P319" i="2"/>
  <c r="M319" i="2"/>
  <c r="J319" i="2"/>
  <c r="F319" i="2"/>
  <c r="E319" i="2"/>
  <c r="AE318" i="2"/>
  <c r="AB318" i="2"/>
  <c r="Y318" i="2"/>
  <c r="V318" i="2"/>
  <c r="S318" i="2"/>
  <c r="P318" i="2"/>
  <c r="M318" i="2"/>
  <c r="J318" i="2"/>
  <c r="F318" i="2"/>
  <c r="E318" i="2"/>
  <c r="AE317" i="2"/>
  <c r="AB317" i="2"/>
  <c r="Y317" i="2"/>
  <c r="V317" i="2"/>
  <c r="S317" i="2"/>
  <c r="P317" i="2"/>
  <c r="M317" i="2"/>
  <c r="J317" i="2"/>
  <c r="F317" i="2"/>
  <c r="E317" i="2"/>
  <c r="AD316" i="2"/>
  <c r="AC316" i="2"/>
  <c r="AA316" i="2"/>
  <c r="Z316" i="2"/>
  <c r="X316" i="2"/>
  <c r="W316" i="2"/>
  <c r="U316" i="2"/>
  <c r="T316" i="2"/>
  <c r="R316" i="2"/>
  <c r="Q316" i="2"/>
  <c r="O316" i="2"/>
  <c r="N316" i="2"/>
  <c r="L316" i="2"/>
  <c r="K316" i="2"/>
  <c r="I316" i="2"/>
  <c r="H316" i="2"/>
  <c r="AE315" i="2"/>
  <c r="AB315" i="2"/>
  <c r="Y315" i="2"/>
  <c r="V315" i="2"/>
  <c r="S315" i="2"/>
  <c r="O315" i="2"/>
  <c r="N315" i="2"/>
  <c r="E315" i="2" s="1"/>
  <c r="M315" i="2"/>
  <c r="J315" i="2"/>
  <c r="F315" i="2"/>
  <c r="AE314" i="2"/>
  <c r="AB314" i="2"/>
  <c r="Y314" i="2"/>
  <c r="V314" i="2"/>
  <c r="S314" i="2"/>
  <c r="P314" i="2"/>
  <c r="M314" i="2"/>
  <c r="J314" i="2"/>
  <c r="F314" i="2"/>
  <c r="E314" i="2"/>
  <c r="AE313" i="2"/>
  <c r="AB313" i="2"/>
  <c r="Y313" i="2"/>
  <c r="V313" i="2"/>
  <c r="S313" i="2"/>
  <c r="P313" i="2"/>
  <c r="M313" i="2"/>
  <c r="J313" i="2"/>
  <c r="F313" i="2"/>
  <c r="E313" i="2"/>
  <c r="AE312" i="2"/>
  <c r="AB312" i="2"/>
  <c r="Y312" i="2"/>
  <c r="V312" i="2"/>
  <c r="S312" i="2"/>
  <c r="O312" i="2"/>
  <c r="F312" i="2" s="1"/>
  <c r="N312" i="2"/>
  <c r="E312" i="2" s="1"/>
  <c r="M312" i="2"/>
  <c r="J312" i="2"/>
  <c r="AE311" i="2"/>
  <c r="AB311" i="2"/>
  <c r="Y311" i="2"/>
  <c r="V311" i="2"/>
  <c r="S311" i="2"/>
  <c r="O311" i="2"/>
  <c r="P311" i="2" s="1"/>
  <c r="M311" i="2"/>
  <c r="J311" i="2"/>
  <c r="E311" i="2"/>
  <c r="AE310" i="2"/>
  <c r="AB310" i="2"/>
  <c r="Y310" i="2"/>
  <c r="V310" i="2"/>
  <c r="S310" i="2"/>
  <c r="P310" i="2"/>
  <c r="M310" i="2"/>
  <c r="J310" i="2"/>
  <c r="F310" i="2"/>
  <c r="E310" i="2"/>
  <c r="AE309" i="2"/>
  <c r="AB309" i="2"/>
  <c r="Y309" i="2"/>
  <c r="V309" i="2"/>
  <c r="S309" i="2"/>
  <c r="P309" i="2"/>
  <c r="M309" i="2"/>
  <c r="J309" i="2"/>
  <c r="F309" i="2"/>
  <c r="E309" i="2"/>
  <c r="AE308" i="2"/>
  <c r="AB308" i="2"/>
  <c r="Y308" i="2"/>
  <c r="V308" i="2"/>
  <c r="S308" i="2"/>
  <c r="O308" i="2"/>
  <c r="N308" i="2"/>
  <c r="E308" i="2" s="1"/>
  <c r="M308" i="2"/>
  <c r="J308" i="2"/>
  <c r="F308" i="2"/>
  <c r="AE307" i="2"/>
  <c r="AB307" i="2"/>
  <c r="Y307" i="2"/>
  <c r="V307" i="2"/>
  <c r="S307" i="2"/>
  <c r="P307" i="2"/>
  <c r="M307" i="2"/>
  <c r="J307" i="2"/>
  <c r="F307" i="2"/>
  <c r="E307" i="2"/>
  <c r="AE306" i="2"/>
  <c r="AB306" i="2"/>
  <c r="Y306" i="2"/>
  <c r="V306" i="2"/>
  <c r="S306" i="2"/>
  <c r="P306" i="2"/>
  <c r="M306" i="2"/>
  <c r="J306" i="2"/>
  <c r="F306" i="2"/>
  <c r="E306" i="2"/>
  <c r="AE305" i="2"/>
  <c r="AB305" i="2"/>
  <c r="Y305" i="2"/>
  <c r="V305" i="2"/>
  <c r="S305" i="2"/>
  <c r="O305" i="2"/>
  <c r="P305" i="2" s="1"/>
  <c r="M305" i="2"/>
  <c r="J305" i="2"/>
  <c r="F305" i="2"/>
  <c r="E305" i="2"/>
  <c r="AE304" i="2"/>
  <c r="AB304" i="2"/>
  <c r="Y304" i="2"/>
  <c r="V304" i="2"/>
  <c r="S304" i="2"/>
  <c r="P304" i="2"/>
  <c r="M304" i="2"/>
  <c r="J304" i="2"/>
  <c r="F304" i="2"/>
  <c r="E304" i="2"/>
  <c r="AD303" i="2"/>
  <c r="AC303" i="2"/>
  <c r="AA303" i="2"/>
  <c r="Z303" i="2"/>
  <c r="X303" i="2"/>
  <c r="W303" i="2"/>
  <c r="U303" i="2"/>
  <c r="T303" i="2"/>
  <c r="R303" i="2"/>
  <c r="Q303" i="2"/>
  <c r="L303" i="2"/>
  <c r="K303" i="2"/>
  <c r="I303" i="2"/>
  <c r="H303" i="2"/>
  <c r="AE302" i="2"/>
  <c r="AB302" i="2"/>
  <c r="Y302" i="2"/>
  <c r="V302" i="2"/>
  <c r="S302" i="2"/>
  <c r="O302" i="2"/>
  <c r="F302" i="2" s="1"/>
  <c r="N302" i="2"/>
  <c r="M302" i="2"/>
  <c r="J302" i="2"/>
  <c r="E302" i="2"/>
  <c r="AE301" i="2"/>
  <c r="AB301" i="2"/>
  <c r="Y301" i="2"/>
  <c r="V301" i="2"/>
  <c r="S301" i="2"/>
  <c r="P301" i="2"/>
  <c r="M301" i="2"/>
  <c r="J301" i="2"/>
  <c r="F301" i="2"/>
  <c r="E301" i="2"/>
  <c r="AE300" i="2"/>
  <c r="AB300" i="2"/>
  <c r="Y300" i="2"/>
  <c r="V300" i="2"/>
  <c r="S300" i="2"/>
  <c r="P300" i="2"/>
  <c r="M300" i="2"/>
  <c r="J300" i="2"/>
  <c r="F300" i="2"/>
  <c r="E300" i="2"/>
  <c r="AE299" i="2"/>
  <c r="AB299" i="2"/>
  <c r="Y299" i="2"/>
  <c r="V299" i="2"/>
  <c r="S299" i="2"/>
  <c r="P299" i="2"/>
  <c r="M299" i="2"/>
  <c r="J299" i="2"/>
  <c r="F299" i="2"/>
  <c r="E299" i="2"/>
  <c r="AE298" i="2"/>
  <c r="AB298" i="2"/>
  <c r="Y298" i="2"/>
  <c r="U298" i="2"/>
  <c r="V298" i="2" s="1"/>
  <c r="S298" i="2"/>
  <c r="P298" i="2"/>
  <c r="M298" i="2"/>
  <c r="J298" i="2"/>
  <c r="E298" i="2"/>
  <c r="AE297" i="2"/>
  <c r="AB297" i="2"/>
  <c r="Y297" i="2"/>
  <c r="V297" i="2"/>
  <c r="S297" i="2"/>
  <c r="P297" i="2"/>
  <c r="M297" i="2"/>
  <c r="J297" i="2"/>
  <c r="F297" i="2"/>
  <c r="E297" i="2"/>
  <c r="AE296" i="2"/>
  <c r="AB296" i="2"/>
  <c r="Y296" i="2"/>
  <c r="U296" i="2"/>
  <c r="T296" i="2"/>
  <c r="E296" i="2" s="1"/>
  <c r="S296" i="2"/>
  <c r="P296" i="2"/>
  <c r="M296" i="2"/>
  <c r="J296" i="2"/>
  <c r="F296" i="2"/>
  <c r="AE295" i="2"/>
  <c r="AB295" i="2"/>
  <c r="Y295" i="2"/>
  <c r="V295" i="2"/>
  <c r="S295" i="2"/>
  <c r="O295" i="2"/>
  <c r="N295" i="2"/>
  <c r="N294" i="2" s="1"/>
  <c r="M295" i="2"/>
  <c r="J295" i="2"/>
  <c r="AD294" i="2"/>
  <c r="AC294" i="2"/>
  <c r="AA294" i="2"/>
  <c r="Z294" i="2"/>
  <c r="X294" i="2"/>
  <c r="W294" i="2"/>
  <c r="R294" i="2"/>
  <c r="Q294" i="2"/>
  <c r="L294" i="2"/>
  <c r="K294" i="2"/>
  <c r="I294" i="2"/>
  <c r="H294" i="2"/>
  <c r="AE292" i="2"/>
  <c r="AB292" i="2"/>
  <c r="Y292" i="2"/>
  <c r="V292" i="2"/>
  <c r="S292" i="2"/>
  <c r="N292" i="2"/>
  <c r="P292" i="2" s="1"/>
  <c r="M292" i="2"/>
  <c r="J292" i="2"/>
  <c r="F292" i="2"/>
  <c r="AD291" i="2"/>
  <c r="AC291" i="2"/>
  <c r="AE291" i="2" s="1"/>
  <c r="AB291" i="2"/>
  <c r="Y291" i="2"/>
  <c r="V291" i="2"/>
  <c r="S291" i="2"/>
  <c r="P291" i="2"/>
  <c r="M291" i="2"/>
  <c r="J291" i="2"/>
  <c r="F291" i="2"/>
  <c r="AE290" i="2"/>
  <c r="AB290" i="2"/>
  <c r="Y290" i="2"/>
  <c r="V290" i="2"/>
  <c r="S290" i="2"/>
  <c r="P290" i="2"/>
  <c r="M290" i="2"/>
  <c r="J290" i="2"/>
  <c r="F290" i="2"/>
  <c r="E290" i="2"/>
  <c r="AE289" i="2"/>
  <c r="AB289" i="2"/>
  <c r="Y289" i="2"/>
  <c r="V289" i="2"/>
  <c r="S289" i="2"/>
  <c r="P289" i="2"/>
  <c r="M289" i="2"/>
  <c r="J289" i="2"/>
  <c r="F289" i="2"/>
  <c r="E289" i="2"/>
  <c r="AE288" i="2"/>
  <c r="AB288" i="2"/>
  <c r="Y288" i="2"/>
  <c r="V288" i="2"/>
  <c r="S288" i="2"/>
  <c r="P288" i="2"/>
  <c r="M288" i="2"/>
  <c r="J288" i="2"/>
  <c r="F288" i="2"/>
  <c r="E288" i="2"/>
  <c r="AE287" i="2"/>
  <c r="AB287" i="2"/>
  <c r="Y287" i="2"/>
  <c r="V287" i="2"/>
  <c r="S287" i="2"/>
  <c r="P287" i="2"/>
  <c r="M287" i="2"/>
  <c r="J287" i="2"/>
  <c r="F287" i="2"/>
  <c r="E287" i="2"/>
  <c r="AE286" i="2"/>
  <c r="AB286" i="2"/>
  <c r="Y286" i="2"/>
  <c r="V286" i="2"/>
  <c r="S286" i="2"/>
  <c r="P286" i="2"/>
  <c r="M286" i="2"/>
  <c r="J286" i="2"/>
  <c r="F286" i="2"/>
  <c r="E286" i="2"/>
  <c r="AE285" i="2"/>
  <c r="AB285" i="2"/>
  <c r="Y285" i="2"/>
  <c r="V285" i="2"/>
  <c r="S285" i="2"/>
  <c r="P285" i="2"/>
  <c r="M285" i="2"/>
  <c r="J285" i="2"/>
  <c r="F285" i="2"/>
  <c r="E285" i="2"/>
  <c r="AE284" i="2"/>
  <c r="AB284" i="2"/>
  <c r="Y284" i="2"/>
  <c r="V284" i="2"/>
  <c r="S284" i="2"/>
  <c r="P284" i="2"/>
  <c r="M284" i="2"/>
  <c r="J284" i="2"/>
  <c r="F284" i="2"/>
  <c r="E284" i="2"/>
  <c r="AE283" i="2"/>
  <c r="AB283" i="2"/>
  <c r="Y283" i="2"/>
  <c r="V283" i="2"/>
  <c r="S283" i="2"/>
  <c r="P283" i="2"/>
  <c r="M283" i="2"/>
  <c r="J283" i="2"/>
  <c r="F283" i="2"/>
  <c r="E283" i="2"/>
  <c r="AD282" i="2"/>
  <c r="AE282" i="2" s="1"/>
  <c r="AC282" i="2"/>
  <c r="AB282" i="2"/>
  <c r="Y282" i="2"/>
  <c r="V282" i="2"/>
  <c r="S282" i="2"/>
  <c r="O282" i="2"/>
  <c r="N282" i="2"/>
  <c r="M282" i="2"/>
  <c r="J282" i="2"/>
  <c r="F282" i="2"/>
  <c r="AE281" i="2"/>
  <c r="AB281" i="2"/>
  <c r="Y281" i="2"/>
  <c r="V281" i="2"/>
  <c r="S281" i="2"/>
  <c r="O281" i="2"/>
  <c r="P281" i="2" s="1"/>
  <c r="N281" i="2"/>
  <c r="M281" i="2"/>
  <c r="J281" i="2"/>
  <c r="E281" i="2"/>
  <c r="AE280" i="2"/>
  <c r="AB280" i="2"/>
  <c r="Y280" i="2"/>
  <c r="V280" i="2"/>
  <c r="S280" i="2"/>
  <c r="P280" i="2"/>
  <c r="M280" i="2"/>
  <c r="J280" i="2"/>
  <c r="F280" i="2"/>
  <c r="E280" i="2"/>
  <c r="AE279" i="2"/>
  <c r="AB279" i="2"/>
  <c r="Y279" i="2"/>
  <c r="V279" i="2"/>
  <c r="S279" i="2"/>
  <c r="P279" i="2"/>
  <c r="M279" i="2"/>
  <c r="J279" i="2"/>
  <c r="F279" i="2"/>
  <c r="E279" i="2"/>
  <c r="AE278" i="2"/>
  <c r="AB278" i="2"/>
  <c r="Y278" i="2"/>
  <c r="V278" i="2"/>
  <c r="S278" i="2"/>
  <c r="O278" i="2"/>
  <c r="N278" i="2"/>
  <c r="M278" i="2"/>
  <c r="I278" i="2"/>
  <c r="F278" i="2" s="1"/>
  <c r="AE277" i="2"/>
  <c r="AB277" i="2"/>
  <c r="Y277" i="2"/>
  <c r="V277" i="2"/>
  <c r="S277" i="2"/>
  <c r="P277" i="2"/>
  <c r="M277" i="2"/>
  <c r="J277" i="2"/>
  <c r="F277" i="2"/>
  <c r="E277" i="2"/>
  <c r="AE276" i="2"/>
  <c r="AB276" i="2"/>
  <c r="Y276" i="2"/>
  <c r="V276" i="2"/>
  <c r="S276" i="2"/>
  <c r="P276" i="2"/>
  <c r="M276" i="2"/>
  <c r="J276" i="2"/>
  <c r="F276" i="2"/>
  <c r="E276" i="2"/>
  <c r="AE275" i="2"/>
  <c r="AB275" i="2"/>
  <c r="Y275" i="2"/>
  <c r="V275" i="2"/>
  <c r="S275" i="2"/>
  <c r="P275" i="2"/>
  <c r="M275" i="2"/>
  <c r="J275" i="2"/>
  <c r="F275" i="2"/>
  <c r="E275" i="2"/>
  <c r="AE274" i="2"/>
  <c r="AB274" i="2"/>
  <c r="Y274" i="2"/>
  <c r="V274" i="2"/>
  <c r="S274" i="2"/>
  <c r="P274" i="2"/>
  <c r="M274" i="2"/>
  <c r="J274" i="2"/>
  <c r="F274" i="2"/>
  <c r="E274" i="2"/>
  <c r="AE273" i="2"/>
  <c r="AB273" i="2"/>
  <c r="Y273" i="2"/>
  <c r="V273" i="2"/>
  <c r="S273" i="2"/>
  <c r="P273" i="2"/>
  <c r="M273" i="2"/>
  <c r="J273" i="2"/>
  <c r="F273" i="2"/>
  <c r="E273" i="2"/>
  <c r="AE272" i="2"/>
  <c r="AB272" i="2"/>
  <c r="Y272" i="2"/>
  <c r="V272" i="2"/>
  <c r="S272" i="2"/>
  <c r="P272" i="2"/>
  <c r="M272" i="2"/>
  <c r="J272" i="2"/>
  <c r="F272" i="2"/>
  <c r="E272" i="2"/>
  <c r="AE271" i="2"/>
  <c r="AB271" i="2"/>
  <c r="Y271" i="2"/>
  <c r="V271" i="2"/>
  <c r="S271" i="2"/>
  <c r="O271" i="2"/>
  <c r="N271" i="2"/>
  <c r="P271" i="2" s="1"/>
  <c r="L271" i="2"/>
  <c r="M271" i="2" s="1"/>
  <c r="K271" i="2"/>
  <c r="I271" i="2"/>
  <c r="F271" i="2" s="1"/>
  <c r="H271" i="2"/>
  <c r="AE270" i="2"/>
  <c r="AB270" i="2"/>
  <c r="Y270" i="2"/>
  <c r="V270" i="2"/>
  <c r="S270" i="2"/>
  <c r="P270" i="2"/>
  <c r="M270" i="2"/>
  <c r="J270" i="2"/>
  <c r="F270" i="2"/>
  <c r="E270" i="2"/>
  <c r="AD269" i="2"/>
  <c r="F269" i="2" s="1"/>
  <c r="AB269" i="2"/>
  <c r="Y269" i="2"/>
  <c r="V269" i="2"/>
  <c r="S269" i="2"/>
  <c r="P269" i="2"/>
  <c r="M269" i="2"/>
  <c r="J269" i="2"/>
  <c r="E269" i="2"/>
  <c r="AD268" i="2"/>
  <c r="F268" i="2" s="1"/>
  <c r="AB268" i="2"/>
  <c r="Y268" i="2"/>
  <c r="V268" i="2"/>
  <c r="S268" i="2"/>
  <c r="P268" i="2"/>
  <c r="M268" i="2"/>
  <c r="J268" i="2"/>
  <c r="E268" i="2"/>
  <c r="AD267" i="2"/>
  <c r="AC267" i="2"/>
  <c r="AB267" i="2"/>
  <c r="Y267" i="2"/>
  <c r="V267" i="2"/>
  <c r="S267" i="2"/>
  <c r="P267" i="2"/>
  <c r="O267" i="2"/>
  <c r="N267" i="2"/>
  <c r="M267" i="2"/>
  <c r="J267" i="2"/>
  <c r="F267" i="2"/>
  <c r="AD266" i="2"/>
  <c r="AE266" i="2" s="1"/>
  <c r="AB266" i="2"/>
  <c r="Y266" i="2"/>
  <c r="V266" i="2"/>
  <c r="S266" i="2"/>
  <c r="P266" i="2"/>
  <c r="M266" i="2"/>
  <c r="I266" i="2"/>
  <c r="F266" i="2" s="1"/>
  <c r="E266" i="2"/>
  <c r="AD265" i="2"/>
  <c r="F265" i="2" s="1"/>
  <c r="AB265" i="2"/>
  <c r="Y265" i="2"/>
  <c r="V265" i="2"/>
  <c r="S265" i="2"/>
  <c r="P265" i="2"/>
  <c r="M265" i="2"/>
  <c r="J265" i="2"/>
  <c r="E265" i="2"/>
  <c r="AD264" i="2"/>
  <c r="AE264" i="2" s="1"/>
  <c r="AC264" i="2"/>
  <c r="AB264" i="2"/>
  <c r="Y264" i="2"/>
  <c r="V264" i="2"/>
  <c r="S264" i="2"/>
  <c r="P264" i="2"/>
  <c r="O264" i="2"/>
  <c r="M264" i="2"/>
  <c r="J264" i="2"/>
  <c r="E264" i="2"/>
  <c r="AD263" i="2"/>
  <c r="AC263" i="2"/>
  <c r="AB263" i="2"/>
  <c r="Y263" i="2"/>
  <c r="V263" i="2"/>
  <c r="S263" i="2"/>
  <c r="P263" i="2"/>
  <c r="M263" i="2"/>
  <c r="J263" i="2"/>
  <c r="E263" i="2"/>
  <c r="AE262" i="2"/>
  <c r="AD262" i="2"/>
  <c r="AC262" i="2"/>
  <c r="AB262" i="2"/>
  <c r="Y262" i="2"/>
  <c r="V262" i="2"/>
  <c r="S262" i="2"/>
  <c r="P262" i="2"/>
  <c r="M262" i="2"/>
  <c r="J262" i="2"/>
  <c r="F262" i="2"/>
  <c r="E262" i="2"/>
  <c r="AE261" i="2"/>
  <c r="AB261" i="2"/>
  <c r="Y261" i="2"/>
  <c r="V261" i="2"/>
  <c r="S261" i="2"/>
  <c r="P261" i="2"/>
  <c r="M261" i="2"/>
  <c r="J261" i="2"/>
  <c r="F261" i="2"/>
  <c r="E261" i="2"/>
  <c r="AD260" i="2"/>
  <c r="AE260" i="2" s="1"/>
  <c r="AC260" i="2"/>
  <c r="AB260" i="2"/>
  <c r="Y260" i="2"/>
  <c r="V260" i="2"/>
  <c r="S260" i="2"/>
  <c r="O260" i="2"/>
  <c r="N260" i="2"/>
  <c r="M260" i="2"/>
  <c r="J260" i="2"/>
  <c r="E260" i="2"/>
  <c r="AE259" i="2"/>
  <c r="AB259" i="2"/>
  <c r="Y259" i="2"/>
  <c r="V259" i="2"/>
  <c r="S259" i="2"/>
  <c r="P259" i="2"/>
  <c r="M259" i="2"/>
  <c r="J259" i="2"/>
  <c r="F259" i="2"/>
  <c r="E259" i="2"/>
  <c r="AE258" i="2"/>
  <c r="AB258" i="2"/>
  <c r="Y258" i="2"/>
  <c r="V258" i="2"/>
  <c r="S258" i="2"/>
  <c r="O258" i="2"/>
  <c r="N258" i="2"/>
  <c r="M258" i="2"/>
  <c r="J258" i="2"/>
  <c r="E258" i="2"/>
  <c r="AE257" i="2"/>
  <c r="AB257" i="2"/>
  <c r="Y257" i="2"/>
  <c r="V257" i="2"/>
  <c r="S257" i="2"/>
  <c r="P257" i="2"/>
  <c r="M257" i="2"/>
  <c r="J257" i="2"/>
  <c r="F257" i="2"/>
  <c r="E257" i="2"/>
  <c r="AE256" i="2"/>
  <c r="AB256" i="2"/>
  <c r="Y256" i="2"/>
  <c r="V256" i="2"/>
  <c r="S256" i="2"/>
  <c r="P256" i="2"/>
  <c r="M256" i="2"/>
  <c r="J256" i="2"/>
  <c r="F256" i="2"/>
  <c r="E256" i="2"/>
  <c r="AA255" i="2"/>
  <c r="Z255" i="2"/>
  <c r="X255" i="2"/>
  <c r="W255" i="2"/>
  <c r="U255" i="2"/>
  <c r="T255" i="2"/>
  <c r="R255" i="2"/>
  <c r="Q255" i="2"/>
  <c r="L255" i="2"/>
  <c r="K255" i="2"/>
  <c r="H255" i="2"/>
  <c r="AE254" i="2"/>
  <c r="AB254" i="2"/>
  <c r="Y254" i="2"/>
  <c r="V254" i="2"/>
  <c r="S254" i="2"/>
  <c r="P254" i="2"/>
  <c r="M254" i="2"/>
  <c r="J254" i="2"/>
  <c r="F254" i="2"/>
  <c r="E254" i="2"/>
  <c r="AE253" i="2"/>
  <c r="AB253" i="2"/>
  <c r="Y253" i="2"/>
  <c r="V253" i="2"/>
  <c r="S253" i="2"/>
  <c r="P253" i="2"/>
  <c r="M253" i="2"/>
  <c r="J253" i="2"/>
  <c r="F253" i="2"/>
  <c r="E253" i="2"/>
  <c r="AE252" i="2"/>
  <c r="AB252" i="2"/>
  <c r="Y252" i="2"/>
  <c r="V252" i="2"/>
  <c r="S252" i="2"/>
  <c r="P252" i="2"/>
  <c r="M252" i="2"/>
  <c r="J252" i="2"/>
  <c r="F252" i="2"/>
  <c r="E252" i="2"/>
  <c r="AE251" i="2"/>
  <c r="AB251" i="2"/>
  <c r="Y251" i="2"/>
  <c r="V251" i="2"/>
  <c r="S251" i="2"/>
  <c r="O251" i="2"/>
  <c r="N251" i="2"/>
  <c r="M251" i="2"/>
  <c r="J251" i="2"/>
  <c r="F251" i="2"/>
  <c r="AE250" i="2"/>
  <c r="AB250" i="2"/>
  <c r="Y250" i="2"/>
  <c r="V250" i="2"/>
  <c r="S250" i="2"/>
  <c r="P250" i="2"/>
  <c r="M250" i="2"/>
  <c r="J250" i="2"/>
  <c r="F250" i="2"/>
  <c r="E250" i="2"/>
  <c r="AD249" i="2"/>
  <c r="AC249" i="2"/>
  <c r="AA249" i="2"/>
  <c r="Z249" i="2"/>
  <c r="X249" i="2"/>
  <c r="W249" i="2"/>
  <c r="U249" i="2"/>
  <c r="T249" i="2"/>
  <c r="R249" i="2"/>
  <c r="Q249" i="2"/>
  <c r="O249" i="2"/>
  <c r="L249" i="2"/>
  <c r="K249" i="2"/>
  <c r="I249" i="2"/>
  <c r="H249" i="2"/>
  <c r="AE248" i="2"/>
  <c r="AB248" i="2"/>
  <c r="Y248" i="2"/>
  <c r="V248" i="2"/>
  <c r="S248" i="2"/>
  <c r="P248" i="2"/>
  <c r="M248" i="2"/>
  <c r="J248" i="2"/>
  <c r="F248" i="2"/>
  <c r="E248" i="2"/>
  <c r="AE247" i="2"/>
  <c r="AB247" i="2"/>
  <c r="Y247" i="2"/>
  <c r="V247" i="2"/>
  <c r="S247" i="2"/>
  <c r="P247" i="2"/>
  <c r="M247" i="2"/>
  <c r="J247" i="2"/>
  <c r="F247" i="2"/>
  <c r="E247" i="2"/>
  <c r="AE246" i="2"/>
  <c r="AB246" i="2"/>
  <c r="Y246" i="2"/>
  <c r="V246" i="2"/>
  <c r="S246" i="2"/>
  <c r="O246" i="2"/>
  <c r="N246" i="2"/>
  <c r="M246" i="2"/>
  <c r="J246" i="2"/>
  <c r="E246" i="2"/>
  <c r="AD245" i="2"/>
  <c r="AC245" i="2"/>
  <c r="AA245" i="2"/>
  <c r="Z245" i="2"/>
  <c r="X245" i="2"/>
  <c r="W245" i="2"/>
  <c r="U245" i="2"/>
  <c r="T245" i="2"/>
  <c r="R245" i="2"/>
  <c r="Q245" i="2"/>
  <c r="N245" i="2"/>
  <c r="L245" i="2"/>
  <c r="K245" i="2"/>
  <c r="I245" i="2"/>
  <c r="H245" i="2"/>
  <c r="AE244" i="2"/>
  <c r="AB244" i="2"/>
  <c r="Y244" i="2"/>
  <c r="V244" i="2"/>
  <c r="S244" i="2"/>
  <c r="P244" i="2"/>
  <c r="M244" i="2"/>
  <c r="J244" i="2"/>
  <c r="F244" i="2"/>
  <c r="E244" i="2"/>
  <c r="AE243" i="2"/>
  <c r="AB243" i="2"/>
  <c r="Y243" i="2"/>
  <c r="V243" i="2"/>
  <c r="S243" i="2"/>
  <c r="P243" i="2"/>
  <c r="M243" i="2"/>
  <c r="J243" i="2"/>
  <c r="F243" i="2"/>
  <c r="E243" i="2"/>
  <c r="AE242" i="2"/>
  <c r="AB242" i="2"/>
  <c r="Y242" i="2"/>
  <c r="V242" i="2"/>
  <c r="S242" i="2"/>
  <c r="P242" i="2"/>
  <c r="M242" i="2"/>
  <c r="J242" i="2"/>
  <c r="F242" i="2"/>
  <c r="E242" i="2"/>
  <c r="AD241" i="2"/>
  <c r="AC241" i="2"/>
  <c r="AA241" i="2"/>
  <c r="Z241" i="2"/>
  <c r="X241" i="2"/>
  <c r="W241" i="2"/>
  <c r="U241" i="2"/>
  <c r="T241" i="2"/>
  <c r="R241" i="2"/>
  <c r="Q241" i="2"/>
  <c r="O241" i="2"/>
  <c r="L241" i="2"/>
  <c r="K241" i="2"/>
  <c r="I241" i="2"/>
  <c r="H241" i="2"/>
  <c r="AE240" i="2"/>
  <c r="AB240" i="2"/>
  <c r="Y240" i="2"/>
  <c r="V240" i="2"/>
  <c r="S240" i="2"/>
  <c r="P240" i="2"/>
  <c r="M240" i="2"/>
  <c r="J240" i="2"/>
  <c r="F240" i="2"/>
  <c r="E240" i="2"/>
  <c r="AE239" i="2"/>
  <c r="AB239" i="2"/>
  <c r="Y239" i="2"/>
  <c r="V239" i="2"/>
  <c r="S239" i="2"/>
  <c r="P239" i="2"/>
  <c r="M239" i="2"/>
  <c r="J239" i="2"/>
  <c r="F239" i="2"/>
  <c r="E239" i="2"/>
  <c r="AE238" i="2"/>
  <c r="AB238" i="2"/>
  <c r="Y238" i="2"/>
  <c r="V238" i="2"/>
  <c r="S238" i="2"/>
  <c r="P238" i="2"/>
  <c r="M238" i="2"/>
  <c r="J238" i="2"/>
  <c r="F238" i="2"/>
  <c r="E238" i="2"/>
  <c r="AD237" i="2"/>
  <c r="AC237" i="2"/>
  <c r="AA237" i="2"/>
  <c r="Z237" i="2"/>
  <c r="X237" i="2"/>
  <c r="W237" i="2"/>
  <c r="U237" i="2"/>
  <c r="T237" i="2"/>
  <c r="R237" i="2"/>
  <c r="Q237" i="2"/>
  <c r="O237" i="2"/>
  <c r="N237" i="2"/>
  <c r="L237" i="2"/>
  <c r="K237" i="2"/>
  <c r="I237" i="2"/>
  <c r="H237" i="2"/>
  <c r="AE235" i="2"/>
  <c r="AB235" i="2"/>
  <c r="Y235" i="2"/>
  <c r="V235" i="2"/>
  <c r="S235" i="2"/>
  <c r="P235" i="2"/>
  <c r="M235" i="2"/>
  <c r="J235" i="2"/>
  <c r="F235" i="2"/>
  <c r="E235" i="2"/>
  <c r="AD234" i="2"/>
  <c r="AC234" i="2"/>
  <c r="AA234" i="2"/>
  <c r="Z234" i="2"/>
  <c r="X234" i="2"/>
  <c r="W234" i="2"/>
  <c r="U234" i="2"/>
  <c r="T234" i="2"/>
  <c r="R234" i="2"/>
  <c r="Q234" i="2"/>
  <c r="O234" i="2"/>
  <c r="N234" i="2"/>
  <c r="L234" i="2"/>
  <c r="K234" i="2"/>
  <c r="I234" i="2"/>
  <c r="H234" i="2"/>
  <c r="AE233" i="2"/>
  <c r="AB233" i="2"/>
  <c r="Y233" i="2"/>
  <c r="V233" i="2"/>
  <c r="S233" i="2"/>
  <c r="P233" i="2"/>
  <c r="M233" i="2"/>
  <c r="J233" i="2"/>
  <c r="F233" i="2"/>
  <c r="E233" i="2"/>
  <c r="AE232" i="2"/>
  <c r="AB232" i="2"/>
  <c r="Y232" i="2"/>
  <c r="U232" i="2"/>
  <c r="F232" i="2" s="1"/>
  <c r="S232" i="2"/>
  <c r="P232" i="2"/>
  <c r="M232" i="2"/>
  <c r="J232" i="2"/>
  <c r="E232" i="2"/>
  <c r="AE231" i="2"/>
  <c r="AB231" i="2"/>
  <c r="Y231" i="2"/>
  <c r="V231" i="2"/>
  <c r="S231" i="2"/>
  <c r="P231" i="2"/>
  <c r="M231" i="2"/>
  <c r="J231" i="2"/>
  <c r="F231" i="2"/>
  <c r="E231" i="2"/>
  <c r="AE230" i="2"/>
  <c r="AB230" i="2"/>
  <c r="Y230" i="2"/>
  <c r="V230" i="2"/>
  <c r="S230" i="2"/>
  <c r="P230" i="2"/>
  <c r="M230" i="2"/>
  <c r="J230" i="2"/>
  <c r="F230" i="2"/>
  <c r="E230" i="2"/>
  <c r="AE229" i="2"/>
  <c r="AB229" i="2"/>
  <c r="Y229" i="2"/>
  <c r="V229" i="2"/>
  <c r="S229" i="2"/>
  <c r="P229" i="2"/>
  <c r="M229" i="2"/>
  <c r="J229" i="2"/>
  <c r="F229" i="2"/>
  <c r="E229" i="2"/>
  <c r="AE228" i="2"/>
  <c r="AB228" i="2"/>
  <c r="Y228" i="2"/>
  <c r="V228" i="2"/>
  <c r="S228" i="2"/>
  <c r="P228" i="2"/>
  <c r="M228" i="2"/>
  <c r="J228" i="2"/>
  <c r="F228" i="2"/>
  <c r="E228" i="2"/>
  <c r="AD227" i="2"/>
  <c r="AC227" i="2"/>
  <c r="AA227" i="2"/>
  <c r="Z227" i="2"/>
  <c r="X227" i="2"/>
  <c r="W227" i="2"/>
  <c r="T227" i="2"/>
  <c r="R227" i="2"/>
  <c r="Q227" i="2"/>
  <c r="O227" i="2"/>
  <c r="N227" i="2"/>
  <c r="L227" i="2"/>
  <c r="K227" i="2"/>
  <c r="I227" i="2"/>
  <c r="H227" i="2"/>
  <c r="AD226" i="2"/>
  <c r="AC226" i="2"/>
  <c r="AE226" i="2" s="1"/>
  <c r="AA226" i="2"/>
  <c r="AB226" i="2" s="1"/>
  <c r="Z226" i="2"/>
  <c r="Y226" i="2"/>
  <c r="V226" i="2"/>
  <c r="S226" i="2"/>
  <c r="O226" i="2"/>
  <c r="P226" i="2" s="1"/>
  <c r="N226" i="2"/>
  <c r="M226" i="2"/>
  <c r="J226" i="2"/>
  <c r="AE225" i="2"/>
  <c r="AB225" i="2"/>
  <c r="Y225" i="2"/>
  <c r="V225" i="2"/>
  <c r="S225" i="2"/>
  <c r="P225" i="2"/>
  <c r="M225" i="2"/>
  <c r="J225" i="2"/>
  <c r="F225" i="2"/>
  <c r="E225" i="2"/>
  <c r="AE224" i="2"/>
  <c r="AB224" i="2"/>
  <c r="Y224" i="2"/>
  <c r="V224" i="2"/>
  <c r="S224" i="2"/>
  <c r="P224" i="2"/>
  <c r="M224" i="2"/>
  <c r="J224" i="2"/>
  <c r="F224" i="2"/>
  <c r="E224" i="2"/>
  <c r="AD223" i="2"/>
  <c r="Z223" i="2"/>
  <c r="X223" i="2"/>
  <c r="W223" i="2"/>
  <c r="U223" i="2"/>
  <c r="T223" i="2"/>
  <c r="R223" i="2"/>
  <c r="Q223" i="2"/>
  <c r="N223" i="2"/>
  <c r="L223" i="2"/>
  <c r="K223" i="2"/>
  <c r="I223" i="2"/>
  <c r="H223" i="2"/>
  <c r="AE222" i="2"/>
  <c r="AB222" i="2"/>
  <c r="Y222" i="2"/>
  <c r="U222" i="2"/>
  <c r="V222" i="2" s="1"/>
  <c r="T222" i="2"/>
  <c r="S222" i="2"/>
  <c r="P222" i="2"/>
  <c r="M222" i="2"/>
  <c r="J222" i="2"/>
  <c r="E222" i="2"/>
  <c r="AE221" i="2"/>
  <c r="AB221" i="2"/>
  <c r="Y221" i="2"/>
  <c r="U221" i="2"/>
  <c r="F221" i="2" s="1"/>
  <c r="T221" i="2"/>
  <c r="E221" i="2" s="1"/>
  <c r="S221" i="2"/>
  <c r="P221" i="2"/>
  <c r="M221" i="2"/>
  <c r="J221" i="2"/>
  <c r="AE220" i="2"/>
  <c r="AB220" i="2"/>
  <c r="Y220" i="2"/>
  <c r="V220" i="2"/>
  <c r="S220" i="2"/>
  <c r="P220" i="2"/>
  <c r="M220" i="2"/>
  <c r="J220" i="2"/>
  <c r="F220" i="2"/>
  <c r="E220" i="2"/>
  <c r="AE219" i="2"/>
  <c r="AB219" i="2"/>
  <c r="Y219" i="2"/>
  <c r="V219" i="2"/>
  <c r="S219" i="2"/>
  <c r="P219" i="2"/>
  <c r="M219" i="2"/>
  <c r="J219" i="2"/>
  <c r="F219" i="2"/>
  <c r="E219" i="2"/>
  <c r="AE218" i="2"/>
  <c r="AB218" i="2"/>
  <c r="Y218" i="2"/>
  <c r="V218" i="2"/>
  <c r="S218" i="2"/>
  <c r="P218" i="2"/>
  <c r="M218" i="2"/>
  <c r="J218" i="2"/>
  <c r="F218" i="2"/>
  <c r="E218" i="2"/>
  <c r="AE217" i="2"/>
  <c r="AB217" i="2"/>
  <c r="Y217" i="2"/>
  <c r="V217" i="2"/>
  <c r="S217" i="2"/>
  <c r="P217" i="2"/>
  <c r="M217" i="2"/>
  <c r="J217" i="2"/>
  <c r="F217" i="2"/>
  <c r="E217" i="2"/>
  <c r="AE216" i="2"/>
  <c r="AB216" i="2"/>
  <c r="Y216" i="2"/>
  <c r="V216" i="2"/>
  <c r="S216" i="2"/>
  <c r="P216" i="2"/>
  <c r="M216" i="2"/>
  <c r="J216" i="2"/>
  <c r="F216" i="2"/>
  <c r="E216" i="2"/>
  <c r="AE215" i="2"/>
  <c r="AB215" i="2"/>
  <c r="Y215" i="2"/>
  <c r="V215" i="2"/>
  <c r="S215" i="2"/>
  <c r="P215" i="2"/>
  <c r="M215" i="2"/>
  <c r="J215" i="2"/>
  <c r="F215" i="2"/>
  <c r="E215" i="2"/>
  <c r="AE214" i="2"/>
  <c r="AB214" i="2"/>
  <c r="Y214" i="2"/>
  <c r="V214" i="2"/>
  <c r="S214" i="2"/>
  <c r="P214" i="2"/>
  <c r="M214" i="2"/>
  <c r="J214" i="2"/>
  <c r="F214" i="2"/>
  <c r="E214" i="2"/>
  <c r="AE213" i="2"/>
  <c r="AB213" i="2"/>
  <c r="Y213" i="2"/>
  <c r="V213" i="2"/>
  <c r="S213" i="2"/>
  <c r="P213" i="2"/>
  <c r="M213" i="2"/>
  <c r="J213" i="2"/>
  <c r="F213" i="2"/>
  <c r="E213" i="2"/>
  <c r="AE212" i="2"/>
  <c r="AB212" i="2"/>
  <c r="Y212" i="2"/>
  <c r="V212" i="2"/>
  <c r="S212" i="2"/>
  <c r="P212" i="2"/>
  <c r="M212" i="2"/>
  <c r="J212" i="2"/>
  <c r="F212" i="2"/>
  <c r="E212" i="2"/>
  <c r="AE211" i="2"/>
  <c r="AB211" i="2"/>
  <c r="Y211" i="2"/>
  <c r="V211" i="2"/>
  <c r="S211" i="2"/>
  <c r="P211" i="2"/>
  <c r="O211" i="2"/>
  <c r="M211" i="2"/>
  <c r="J211" i="2"/>
  <c r="F211" i="2"/>
  <c r="E211" i="2"/>
  <c r="AE210" i="2"/>
  <c r="AB210" i="2"/>
  <c r="Y210" i="2"/>
  <c r="V210" i="2"/>
  <c r="S210" i="2"/>
  <c r="O210" i="2"/>
  <c r="P210" i="2" s="1"/>
  <c r="M210" i="2"/>
  <c r="J210" i="2"/>
  <c r="F210" i="2"/>
  <c r="E210" i="2"/>
  <c r="AE209" i="2"/>
  <c r="AB209" i="2"/>
  <c r="Y209" i="2"/>
  <c r="V209" i="2"/>
  <c r="S209" i="2"/>
  <c r="P209" i="2"/>
  <c r="M209" i="2"/>
  <c r="J209" i="2"/>
  <c r="F209" i="2"/>
  <c r="E209" i="2"/>
  <c r="AE208" i="2"/>
  <c r="AB208" i="2"/>
  <c r="Y208" i="2"/>
  <c r="V208" i="2"/>
  <c r="S208" i="2"/>
  <c r="P208" i="2"/>
  <c r="M208" i="2"/>
  <c r="J208" i="2"/>
  <c r="F208" i="2"/>
  <c r="E208" i="2"/>
  <c r="AE207" i="2"/>
  <c r="AB207" i="2"/>
  <c r="Y207" i="2"/>
  <c r="V207" i="2"/>
  <c r="S207" i="2"/>
  <c r="P207" i="2"/>
  <c r="M207" i="2"/>
  <c r="J207" i="2"/>
  <c r="F207" i="2"/>
  <c r="E207" i="2"/>
  <c r="AE206" i="2"/>
  <c r="AB206" i="2"/>
  <c r="Y206" i="2"/>
  <c r="V206" i="2"/>
  <c r="S206" i="2"/>
  <c r="P206" i="2"/>
  <c r="M206" i="2"/>
  <c r="J206" i="2"/>
  <c r="F206" i="2"/>
  <c r="E206" i="2"/>
  <c r="AE205" i="2"/>
  <c r="AB205" i="2"/>
  <c r="Y205" i="2"/>
  <c r="V205" i="2"/>
  <c r="S205" i="2"/>
  <c r="O205" i="2"/>
  <c r="O203" i="2" s="1"/>
  <c r="N205" i="2"/>
  <c r="M205" i="2"/>
  <c r="J205" i="2"/>
  <c r="F205" i="2"/>
  <c r="AE204" i="2"/>
  <c r="AB204" i="2"/>
  <c r="Y204" i="2"/>
  <c r="V204" i="2"/>
  <c r="S204" i="2"/>
  <c r="P204" i="2"/>
  <c r="M204" i="2"/>
  <c r="J204" i="2"/>
  <c r="F204" i="2"/>
  <c r="E204" i="2"/>
  <c r="AD203" i="2"/>
  <c r="AC203" i="2"/>
  <c r="AA203" i="2"/>
  <c r="AB203" i="2" s="1"/>
  <c r="Z203" i="2"/>
  <c r="X203" i="2"/>
  <c r="W203" i="2"/>
  <c r="T203" i="2"/>
  <c r="R203" i="2"/>
  <c r="Q203" i="2"/>
  <c r="L203" i="2"/>
  <c r="K203" i="2"/>
  <c r="I203" i="2"/>
  <c r="H203" i="2"/>
  <c r="J203" i="2" s="1"/>
  <c r="AE202" i="2"/>
  <c r="AB202" i="2"/>
  <c r="Y202" i="2"/>
  <c r="V202" i="2"/>
  <c r="S202" i="2"/>
  <c r="P202" i="2"/>
  <c r="M202" i="2"/>
  <c r="J202" i="2"/>
  <c r="F202" i="2"/>
  <c r="E202" i="2"/>
  <c r="AE201" i="2"/>
  <c r="AB201" i="2"/>
  <c r="Y201" i="2"/>
  <c r="V201" i="2"/>
  <c r="S201" i="2"/>
  <c r="P201" i="2"/>
  <c r="M201" i="2"/>
  <c r="J201" i="2"/>
  <c r="F201" i="2"/>
  <c r="E201" i="2"/>
  <c r="AE200" i="2"/>
  <c r="AB200" i="2"/>
  <c r="Y200" i="2"/>
  <c r="V200" i="2"/>
  <c r="S200" i="2"/>
  <c r="P200" i="2"/>
  <c r="M200" i="2"/>
  <c r="J200" i="2"/>
  <c r="F200" i="2"/>
  <c r="E200" i="2"/>
  <c r="AD199" i="2"/>
  <c r="AC199" i="2"/>
  <c r="AA199" i="2"/>
  <c r="Z199" i="2"/>
  <c r="X199" i="2"/>
  <c r="W199" i="2"/>
  <c r="U199" i="2"/>
  <c r="T199" i="2"/>
  <c r="R199" i="2"/>
  <c r="Q199" i="2"/>
  <c r="O199" i="2"/>
  <c r="N199" i="2"/>
  <c r="L199" i="2"/>
  <c r="K199" i="2"/>
  <c r="I199" i="2"/>
  <c r="H199" i="2"/>
  <c r="AE197" i="2"/>
  <c r="AB197" i="2"/>
  <c r="Y197" i="2"/>
  <c r="V197" i="2"/>
  <c r="S197" i="2"/>
  <c r="P197" i="2"/>
  <c r="M197" i="2"/>
  <c r="J197" i="2"/>
  <c r="F197" i="2"/>
  <c r="E197" i="2"/>
  <c r="AE196" i="2"/>
  <c r="AB196" i="2"/>
  <c r="Y196" i="2"/>
  <c r="V196" i="2"/>
  <c r="S196" i="2"/>
  <c r="P196" i="2"/>
  <c r="M196" i="2"/>
  <c r="J196" i="2"/>
  <c r="F196" i="2"/>
  <c r="E196" i="2"/>
  <c r="AE195" i="2"/>
  <c r="AB195" i="2"/>
  <c r="Y195" i="2"/>
  <c r="V195" i="2"/>
  <c r="S195" i="2"/>
  <c r="P195" i="2"/>
  <c r="M195" i="2"/>
  <c r="J195" i="2"/>
  <c r="F195" i="2"/>
  <c r="E195" i="2"/>
  <c r="AE194" i="2"/>
  <c r="AB194" i="2"/>
  <c r="Y194" i="2"/>
  <c r="V194" i="2"/>
  <c r="S194" i="2"/>
  <c r="P194" i="2"/>
  <c r="M194" i="2"/>
  <c r="J194" i="2"/>
  <c r="F194" i="2"/>
  <c r="E194" i="2"/>
  <c r="AE193" i="2"/>
  <c r="AB193" i="2"/>
  <c r="Y193" i="2"/>
  <c r="U193" i="2"/>
  <c r="T193" i="2"/>
  <c r="S193" i="2"/>
  <c r="P193" i="2"/>
  <c r="M193" i="2"/>
  <c r="J193" i="2"/>
  <c r="F193" i="2"/>
  <c r="AE192" i="2"/>
  <c r="AB192" i="2"/>
  <c r="Y192" i="2"/>
  <c r="V192" i="2"/>
  <c r="S192" i="2"/>
  <c r="P192" i="2"/>
  <c r="M192" i="2"/>
  <c r="J192" i="2"/>
  <c r="F192" i="2"/>
  <c r="E192" i="2"/>
  <c r="AE191" i="2"/>
  <c r="AB191" i="2"/>
  <c r="Y191" i="2"/>
  <c r="V191" i="2"/>
  <c r="S191" i="2"/>
  <c r="P191" i="2"/>
  <c r="M191" i="2"/>
  <c r="J191" i="2"/>
  <c r="F191" i="2"/>
  <c r="E191" i="2"/>
  <c r="AD190" i="2"/>
  <c r="AC190" i="2"/>
  <c r="AA190" i="2"/>
  <c r="Z190" i="2"/>
  <c r="X190" i="2"/>
  <c r="W190" i="2"/>
  <c r="U190" i="2"/>
  <c r="R190" i="2"/>
  <c r="Q190" i="2"/>
  <c r="O190" i="2"/>
  <c r="N190" i="2"/>
  <c r="L190" i="2"/>
  <c r="K190" i="2"/>
  <c r="I190" i="2"/>
  <c r="J190" i="2" s="1"/>
  <c r="H190" i="2"/>
  <c r="AE189" i="2"/>
  <c r="AB189" i="2"/>
  <c r="Y189" i="2"/>
  <c r="V189" i="2"/>
  <c r="S189" i="2"/>
  <c r="P189" i="2"/>
  <c r="M189" i="2"/>
  <c r="J189" i="2"/>
  <c r="F189" i="2"/>
  <c r="E189" i="2"/>
  <c r="AE188" i="2"/>
  <c r="AB188" i="2"/>
  <c r="Y188" i="2"/>
  <c r="V188" i="2"/>
  <c r="S188" i="2"/>
  <c r="R188" i="2"/>
  <c r="Q188" i="2"/>
  <c r="Q186" i="2" s="1"/>
  <c r="P188" i="2"/>
  <c r="M188" i="2"/>
  <c r="J188" i="2"/>
  <c r="F188" i="2"/>
  <c r="E188" i="2"/>
  <c r="AE187" i="2"/>
  <c r="AB187" i="2"/>
  <c r="Y187" i="2"/>
  <c r="V187" i="2"/>
  <c r="S187" i="2"/>
  <c r="P187" i="2"/>
  <c r="M187" i="2"/>
  <c r="J187" i="2"/>
  <c r="F187" i="2"/>
  <c r="E187" i="2"/>
  <c r="AD186" i="2"/>
  <c r="AC186" i="2"/>
  <c r="AA186" i="2"/>
  <c r="Z186" i="2"/>
  <c r="X186" i="2"/>
  <c r="W186" i="2"/>
  <c r="U186" i="2"/>
  <c r="T186" i="2"/>
  <c r="R186" i="2"/>
  <c r="S186" i="2" s="1"/>
  <c r="O186" i="2"/>
  <c r="N186" i="2"/>
  <c r="L186" i="2"/>
  <c r="K186" i="2"/>
  <c r="I186" i="2"/>
  <c r="H186" i="2"/>
  <c r="AE185" i="2"/>
  <c r="AB185" i="2"/>
  <c r="Y185" i="2"/>
  <c r="V185" i="2"/>
  <c r="S185" i="2"/>
  <c r="P185" i="2"/>
  <c r="M185" i="2"/>
  <c r="J185" i="2"/>
  <c r="F185" i="2"/>
  <c r="E185" i="2"/>
  <c r="AD184" i="2"/>
  <c r="AC184" i="2"/>
  <c r="AA184" i="2"/>
  <c r="Z184" i="2"/>
  <c r="X184" i="2"/>
  <c r="W184" i="2"/>
  <c r="U184" i="2"/>
  <c r="T184" i="2"/>
  <c r="R184" i="2"/>
  <c r="Q184" i="2"/>
  <c r="O184" i="2"/>
  <c r="N184" i="2"/>
  <c r="L184" i="2"/>
  <c r="K184" i="2"/>
  <c r="I184" i="2"/>
  <c r="H184" i="2"/>
  <c r="AE183" i="2"/>
  <c r="AB183" i="2"/>
  <c r="Y183" i="2"/>
  <c r="V183" i="2"/>
  <c r="S183" i="2"/>
  <c r="P183" i="2"/>
  <c r="M183" i="2"/>
  <c r="J183" i="2"/>
  <c r="F183" i="2"/>
  <c r="E183" i="2"/>
  <c r="AE182" i="2"/>
  <c r="AB182" i="2"/>
  <c r="Y182" i="2"/>
  <c r="V182" i="2"/>
  <c r="S182" i="2"/>
  <c r="P182" i="2"/>
  <c r="M182" i="2"/>
  <c r="J182" i="2"/>
  <c r="F182" i="2"/>
  <c r="E182" i="2"/>
  <c r="AE181" i="2"/>
  <c r="AB181" i="2"/>
  <c r="Y181" i="2"/>
  <c r="V181" i="2"/>
  <c r="S181" i="2"/>
  <c r="P181" i="2"/>
  <c r="M181" i="2"/>
  <c r="J181" i="2"/>
  <c r="F181" i="2"/>
  <c r="E181" i="2"/>
  <c r="AD180" i="2"/>
  <c r="AC180" i="2"/>
  <c r="AA180" i="2"/>
  <c r="Z180" i="2"/>
  <c r="X180" i="2"/>
  <c r="W180" i="2"/>
  <c r="U180" i="2"/>
  <c r="T180" i="2"/>
  <c r="R180" i="2"/>
  <c r="Q180" i="2"/>
  <c r="O180" i="2"/>
  <c r="N180" i="2"/>
  <c r="L180" i="2"/>
  <c r="K180" i="2"/>
  <c r="I180" i="2"/>
  <c r="H180" i="2"/>
  <c r="AE178" i="2"/>
  <c r="AB178" i="2"/>
  <c r="Y178" i="2"/>
  <c r="V178" i="2"/>
  <c r="S178" i="2"/>
  <c r="P178" i="2"/>
  <c r="M178" i="2"/>
  <c r="J178" i="2"/>
  <c r="F178" i="2"/>
  <c r="E178" i="2"/>
  <c r="AE177" i="2"/>
  <c r="AB177" i="2"/>
  <c r="Y177" i="2"/>
  <c r="V177" i="2"/>
  <c r="S177" i="2"/>
  <c r="P177" i="2"/>
  <c r="M177" i="2"/>
  <c r="J177" i="2"/>
  <c r="F177" i="2"/>
  <c r="E177" i="2"/>
  <c r="AE176" i="2"/>
  <c r="AB176" i="2"/>
  <c r="Y176" i="2"/>
  <c r="V176" i="2"/>
  <c r="S176" i="2"/>
  <c r="P176" i="2"/>
  <c r="M176" i="2"/>
  <c r="J176" i="2"/>
  <c r="F176" i="2"/>
  <c r="E176" i="2"/>
  <c r="AE175" i="2"/>
  <c r="AB175" i="2"/>
  <c r="Y175" i="2"/>
  <c r="V175" i="2"/>
  <c r="S175" i="2"/>
  <c r="P175" i="2"/>
  <c r="M175" i="2"/>
  <c r="J175" i="2"/>
  <c r="F175" i="2"/>
  <c r="E175" i="2"/>
  <c r="AE174" i="2"/>
  <c r="AB174" i="2"/>
  <c r="Y174" i="2"/>
  <c r="V174" i="2"/>
  <c r="S174" i="2"/>
  <c r="P174" i="2"/>
  <c r="M174" i="2"/>
  <c r="J174" i="2"/>
  <c r="F174" i="2"/>
  <c r="E174" i="2"/>
  <c r="AE173" i="2"/>
  <c r="AB173" i="2"/>
  <c r="Y173" i="2"/>
  <c r="V173" i="2"/>
  <c r="S173" i="2"/>
  <c r="P173" i="2"/>
  <c r="M173" i="2"/>
  <c r="J173" i="2"/>
  <c r="F173" i="2"/>
  <c r="E173" i="2"/>
  <c r="AE172" i="2"/>
  <c r="AB172" i="2"/>
  <c r="Y172" i="2"/>
  <c r="V172" i="2"/>
  <c r="S172" i="2"/>
  <c r="P172" i="2"/>
  <c r="M172" i="2"/>
  <c r="J172" i="2"/>
  <c r="F172" i="2"/>
  <c r="E172" i="2"/>
  <c r="AE171" i="2"/>
  <c r="AB171" i="2"/>
  <c r="Y171" i="2"/>
  <c r="V171" i="2"/>
  <c r="S171" i="2"/>
  <c r="P171" i="2"/>
  <c r="M171" i="2"/>
  <c r="J171" i="2"/>
  <c r="F171" i="2"/>
  <c r="E171" i="2"/>
  <c r="AD170" i="2"/>
  <c r="AC170" i="2"/>
  <c r="AA170" i="2"/>
  <c r="Z170" i="2"/>
  <c r="X170" i="2"/>
  <c r="W170" i="2"/>
  <c r="U170" i="2"/>
  <c r="T170" i="2"/>
  <c r="R170" i="2"/>
  <c r="Q170" i="2"/>
  <c r="O170" i="2"/>
  <c r="N170" i="2"/>
  <c r="L170" i="2"/>
  <c r="K170" i="2"/>
  <c r="I170" i="2"/>
  <c r="H170" i="2"/>
  <c r="AE169" i="2"/>
  <c r="AB169" i="2"/>
  <c r="Y169" i="2"/>
  <c r="V169" i="2"/>
  <c r="S169" i="2"/>
  <c r="P169" i="2"/>
  <c r="M169" i="2"/>
  <c r="J169" i="2"/>
  <c r="F169" i="2"/>
  <c r="E169" i="2"/>
  <c r="AE168" i="2"/>
  <c r="AB168" i="2"/>
  <c r="Y168" i="2"/>
  <c r="V168" i="2"/>
  <c r="S168" i="2"/>
  <c r="P168" i="2"/>
  <c r="M168" i="2"/>
  <c r="J168" i="2"/>
  <c r="F168" i="2"/>
  <c r="E168" i="2"/>
  <c r="AE167" i="2"/>
  <c r="AB167" i="2"/>
  <c r="Y167" i="2"/>
  <c r="V167" i="2"/>
  <c r="S167" i="2"/>
  <c r="P167" i="2"/>
  <c r="M167" i="2"/>
  <c r="J167" i="2"/>
  <c r="F167" i="2"/>
  <c r="E167" i="2"/>
  <c r="AE166" i="2"/>
  <c r="AB166" i="2"/>
  <c r="Y166" i="2"/>
  <c r="V166" i="2"/>
  <c r="S166" i="2"/>
  <c r="P166" i="2"/>
  <c r="M166" i="2"/>
  <c r="J166" i="2"/>
  <c r="F166" i="2"/>
  <c r="E166" i="2"/>
  <c r="AE165" i="2"/>
  <c r="AB165" i="2"/>
  <c r="Y165" i="2"/>
  <c r="V165" i="2"/>
  <c r="S165" i="2"/>
  <c r="P165" i="2"/>
  <c r="M165" i="2"/>
  <c r="J165" i="2"/>
  <c r="F165" i="2"/>
  <c r="E165" i="2"/>
  <c r="AE164" i="2"/>
  <c r="AB164" i="2"/>
  <c r="Y164" i="2"/>
  <c r="V164" i="2"/>
  <c r="S164" i="2"/>
  <c r="P164" i="2"/>
  <c r="M164" i="2"/>
  <c r="J164" i="2"/>
  <c r="F164" i="2"/>
  <c r="E164" i="2"/>
  <c r="AE163" i="2"/>
  <c r="AB163" i="2"/>
  <c r="Y163" i="2"/>
  <c r="V163" i="2"/>
  <c r="S163" i="2"/>
  <c r="P163" i="2"/>
  <c r="M163" i="2"/>
  <c r="J163" i="2"/>
  <c r="F163" i="2"/>
  <c r="E163" i="2"/>
  <c r="AE162" i="2"/>
  <c r="AA162" i="2"/>
  <c r="AB162" i="2" s="1"/>
  <c r="Z162" i="2"/>
  <c r="X162" i="2"/>
  <c r="Y162" i="2" s="1"/>
  <c r="V162" i="2"/>
  <c r="S162" i="2"/>
  <c r="P162" i="2"/>
  <c r="M162" i="2"/>
  <c r="J162" i="2"/>
  <c r="E162" i="2"/>
  <c r="AE161" i="2"/>
  <c r="AB161" i="2"/>
  <c r="Y161" i="2"/>
  <c r="V161" i="2"/>
  <c r="S161" i="2"/>
  <c r="P161" i="2"/>
  <c r="M161" i="2"/>
  <c r="J161" i="2"/>
  <c r="F161" i="2"/>
  <c r="E161" i="2"/>
  <c r="AE160" i="2"/>
  <c r="AB160" i="2"/>
  <c r="Y160" i="2"/>
  <c r="V160" i="2"/>
  <c r="S160" i="2"/>
  <c r="P160" i="2"/>
  <c r="M160" i="2"/>
  <c r="J160" i="2"/>
  <c r="F160" i="2"/>
  <c r="E160" i="2"/>
  <c r="AE159" i="2"/>
  <c r="AB159" i="2"/>
  <c r="Y159" i="2"/>
  <c r="V159" i="2"/>
  <c r="S159" i="2"/>
  <c r="P159" i="2"/>
  <c r="M159" i="2"/>
  <c r="J159" i="2"/>
  <c r="F159" i="2"/>
  <c r="E159" i="2"/>
  <c r="AE158" i="2"/>
  <c r="AB158" i="2"/>
  <c r="Y158" i="2"/>
  <c r="V158" i="2"/>
  <c r="S158" i="2"/>
  <c r="P158" i="2"/>
  <c r="M158" i="2"/>
  <c r="J158" i="2"/>
  <c r="F158" i="2"/>
  <c r="E158" i="2"/>
  <c r="AE157" i="2"/>
  <c r="AB157" i="2"/>
  <c r="Y157" i="2"/>
  <c r="U157" i="2"/>
  <c r="T157" i="2"/>
  <c r="E157" i="2" s="1"/>
  <c r="S157" i="2"/>
  <c r="P157" i="2"/>
  <c r="M157" i="2"/>
  <c r="J157" i="2"/>
  <c r="F157" i="2"/>
  <c r="AE156" i="2"/>
  <c r="AB156" i="2"/>
  <c r="Y156" i="2"/>
  <c r="U156" i="2"/>
  <c r="V156" i="2" s="1"/>
  <c r="T156" i="2"/>
  <c r="E156" i="2" s="1"/>
  <c r="S156" i="2"/>
  <c r="P156" i="2"/>
  <c r="M156" i="2"/>
  <c r="J156" i="2"/>
  <c r="AE155" i="2"/>
  <c r="AB155" i="2"/>
  <c r="Y155" i="2"/>
  <c r="U155" i="2"/>
  <c r="T155" i="2"/>
  <c r="V155" i="2" s="1"/>
  <c r="S155" i="2"/>
  <c r="P155" i="2"/>
  <c r="M155" i="2"/>
  <c r="J155" i="2"/>
  <c r="F155" i="2"/>
  <c r="AE154" i="2"/>
  <c r="AB154" i="2"/>
  <c r="Y154" i="2"/>
  <c r="V154" i="2"/>
  <c r="S154" i="2"/>
  <c r="P154" i="2"/>
  <c r="M154" i="2"/>
  <c r="J154" i="2"/>
  <c r="F154" i="2"/>
  <c r="E154" i="2"/>
  <c r="AE153" i="2"/>
  <c r="AB153" i="2"/>
  <c r="Y153" i="2"/>
  <c r="V153" i="2"/>
  <c r="S153" i="2"/>
  <c r="P153" i="2"/>
  <c r="M153" i="2"/>
  <c r="J153" i="2"/>
  <c r="F153" i="2"/>
  <c r="E153" i="2"/>
  <c r="AE152" i="2"/>
  <c r="AB152" i="2"/>
  <c r="Y152" i="2"/>
  <c r="V152" i="2"/>
  <c r="S152" i="2"/>
  <c r="P152" i="2"/>
  <c r="M152" i="2"/>
  <c r="J152" i="2"/>
  <c r="F152" i="2"/>
  <c r="E152" i="2"/>
  <c r="AD151" i="2"/>
  <c r="AC151" i="2"/>
  <c r="AA151" i="2"/>
  <c r="Z151" i="2"/>
  <c r="W151" i="2"/>
  <c r="U151" i="2"/>
  <c r="R151" i="2"/>
  <c r="Q151" i="2"/>
  <c r="O151" i="2"/>
  <c r="N151" i="2"/>
  <c r="L151" i="2"/>
  <c r="K151" i="2"/>
  <c r="I151" i="2"/>
  <c r="H151" i="2"/>
  <c r="AD150" i="2"/>
  <c r="AE150" i="2" s="1"/>
  <c r="AC150" i="2"/>
  <c r="AB150" i="2"/>
  <c r="AA150" i="2"/>
  <c r="Z150" i="2"/>
  <c r="E150" i="2" s="1"/>
  <c r="Y150" i="2"/>
  <c r="V150" i="2"/>
  <c r="S150" i="2"/>
  <c r="P150" i="2"/>
  <c r="M150" i="2"/>
  <c r="J150" i="2"/>
  <c r="AC149" i="2"/>
  <c r="AA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AE148" i="2"/>
  <c r="AB148" i="2"/>
  <c r="Y148" i="2"/>
  <c r="V148" i="2"/>
  <c r="S148" i="2"/>
  <c r="P148" i="2"/>
  <c r="M148" i="2"/>
  <c r="J148" i="2"/>
  <c r="F148" i="2"/>
  <c r="E148" i="2"/>
  <c r="AE147" i="2"/>
  <c r="AB147" i="2"/>
  <c r="Y147" i="2"/>
  <c r="V147" i="2"/>
  <c r="S147" i="2"/>
  <c r="P147" i="2"/>
  <c r="M147" i="2"/>
  <c r="J147" i="2"/>
  <c r="F147" i="2"/>
  <c r="E147" i="2"/>
  <c r="AE146" i="2"/>
  <c r="AB146" i="2"/>
  <c r="Y146" i="2"/>
  <c r="V146" i="2"/>
  <c r="S146" i="2"/>
  <c r="P146" i="2"/>
  <c r="M146" i="2"/>
  <c r="J146" i="2"/>
  <c r="F146" i="2"/>
  <c r="E146" i="2"/>
  <c r="AE145" i="2"/>
  <c r="AB145" i="2"/>
  <c r="Y145" i="2"/>
  <c r="V145" i="2"/>
  <c r="S145" i="2"/>
  <c r="O145" i="2"/>
  <c r="F145" i="2" s="1"/>
  <c r="N145" i="2"/>
  <c r="N137" i="2" s="1"/>
  <c r="M145" i="2"/>
  <c r="J145" i="2"/>
  <c r="AE144" i="2"/>
  <c r="AB144" i="2"/>
  <c r="Y144" i="2"/>
  <c r="V144" i="2"/>
  <c r="S144" i="2"/>
  <c r="P144" i="2"/>
  <c r="M144" i="2"/>
  <c r="J144" i="2"/>
  <c r="F144" i="2"/>
  <c r="E144" i="2"/>
  <c r="AE143" i="2"/>
  <c r="AB143" i="2"/>
  <c r="Y143" i="2"/>
  <c r="V143" i="2"/>
  <c r="S143" i="2"/>
  <c r="P143" i="2"/>
  <c r="M143" i="2"/>
  <c r="J143" i="2"/>
  <c r="F143" i="2"/>
  <c r="E143" i="2"/>
  <c r="AE142" i="2"/>
  <c r="AB142" i="2"/>
  <c r="Y142" i="2"/>
  <c r="V142" i="2"/>
  <c r="S142" i="2"/>
  <c r="P142" i="2"/>
  <c r="M142" i="2"/>
  <c r="J142" i="2"/>
  <c r="F142" i="2"/>
  <c r="E142" i="2"/>
  <c r="AE141" i="2"/>
  <c r="AB141" i="2"/>
  <c r="Y141" i="2"/>
  <c r="V141" i="2"/>
  <c r="S141" i="2"/>
  <c r="P141" i="2"/>
  <c r="M141" i="2"/>
  <c r="J141" i="2"/>
  <c r="F141" i="2"/>
  <c r="E141" i="2"/>
  <c r="AE140" i="2"/>
  <c r="AB140" i="2"/>
  <c r="Y140" i="2"/>
  <c r="V140" i="2"/>
  <c r="S140" i="2"/>
  <c r="P140" i="2"/>
  <c r="M140" i="2"/>
  <c r="J140" i="2"/>
  <c r="F140" i="2"/>
  <c r="E140" i="2"/>
  <c r="AE139" i="2"/>
  <c r="AB139" i="2"/>
  <c r="Y139" i="2"/>
  <c r="V139" i="2"/>
  <c r="S139" i="2"/>
  <c r="P139" i="2"/>
  <c r="M139" i="2"/>
  <c r="J139" i="2"/>
  <c r="F139" i="2"/>
  <c r="E139" i="2"/>
  <c r="AE138" i="2"/>
  <c r="AB138" i="2"/>
  <c r="Y138" i="2"/>
  <c r="U138" i="2"/>
  <c r="T138" i="2"/>
  <c r="V138" i="2" s="1"/>
  <c r="S138" i="2"/>
  <c r="P138" i="2"/>
  <c r="M138" i="2"/>
  <c r="J138" i="2"/>
  <c r="F138" i="2"/>
  <c r="AD137" i="2"/>
  <c r="AC137" i="2"/>
  <c r="AA137" i="2"/>
  <c r="Z137" i="2"/>
  <c r="X137" i="2"/>
  <c r="W137" i="2"/>
  <c r="U137" i="2"/>
  <c r="R137" i="2"/>
  <c r="Q137" i="2"/>
  <c r="O137" i="2"/>
  <c r="L137" i="2"/>
  <c r="K137" i="2"/>
  <c r="I137" i="2"/>
  <c r="H137" i="2"/>
  <c r="AD135" i="2"/>
  <c r="F135" i="2" s="1"/>
  <c r="AC135" i="2"/>
  <c r="AB135" i="2"/>
  <c r="Y135" i="2"/>
  <c r="V135" i="2"/>
  <c r="S135" i="2"/>
  <c r="P135" i="2"/>
  <c r="M135" i="2"/>
  <c r="J135" i="2"/>
  <c r="E135" i="2"/>
  <c r="AC134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AE133" i="2"/>
  <c r="AB133" i="2"/>
  <c r="Y133" i="2"/>
  <c r="V133" i="2"/>
  <c r="S133" i="2"/>
  <c r="P133" i="2"/>
  <c r="M133" i="2"/>
  <c r="J133" i="2"/>
  <c r="F133" i="2"/>
  <c r="E133" i="2"/>
  <c r="AE132" i="2"/>
  <c r="AB132" i="2"/>
  <c r="Y132" i="2"/>
  <c r="V132" i="2"/>
  <c r="S132" i="2"/>
  <c r="P132" i="2"/>
  <c r="M132" i="2"/>
  <c r="J132" i="2"/>
  <c r="F132" i="2"/>
  <c r="E132" i="2"/>
  <c r="AE131" i="2"/>
  <c r="AB131" i="2"/>
  <c r="Y131" i="2"/>
  <c r="V131" i="2"/>
  <c r="S131" i="2"/>
  <c r="P131" i="2"/>
  <c r="M131" i="2"/>
  <c r="J131" i="2"/>
  <c r="F131" i="2"/>
  <c r="E131" i="2"/>
  <c r="AE130" i="2"/>
  <c r="AB130" i="2"/>
  <c r="Y130" i="2"/>
  <c r="V130" i="2"/>
  <c r="S130" i="2"/>
  <c r="P130" i="2"/>
  <c r="M130" i="2"/>
  <c r="J130" i="2"/>
  <c r="F130" i="2"/>
  <c r="E130" i="2"/>
  <c r="AD129" i="2"/>
  <c r="AC129" i="2"/>
  <c r="AE129" i="2" s="1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AE127" i="2"/>
  <c r="AB127" i="2"/>
  <c r="Y127" i="2"/>
  <c r="V127" i="2"/>
  <c r="S127" i="2"/>
  <c r="P127" i="2"/>
  <c r="M127" i="2"/>
  <c r="J127" i="2"/>
  <c r="F127" i="2"/>
  <c r="E127" i="2"/>
  <c r="AE126" i="2"/>
  <c r="AB126" i="2"/>
  <c r="Y126" i="2"/>
  <c r="V126" i="2"/>
  <c r="S126" i="2"/>
  <c r="P126" i="2"/>
  <c r="M126" i="2"/>
  <c r="J126" i="2"/>
  <c r="F126" i="2"/>
  <c r="E126" i="2"/>
  <c r="AD125" i="2"/>
  <c r="AC125" i="2"/>
  <c r="AE125" i="2" s="1"/>
  <c r="AA125" i="2"/>
  <c r="Z125" i="2"/>
  <c r="AB125" i="2" s="1"/>
  <c r="X125" i="2"/>
  <c r="W125" i="2"/>
  <c r="U125" i="2"/>
  <c r="T125" i="2"/>
  <c r="R125" i="2"/>
  <c r="Q125" i="2"/>
  <c r="O125" i="2"/>
  <c r="N125" i="2"/>
  <c r="L125" i="2"/>
  <c r="K125" i="2"/>
  <c r="I125" i="2"/>
  <c r="H125" i="2"/>
  <c r="AE124" i="2"/>
  <c r="AB124" i="2"/>
  <c r="Y124" i="2"/>
  <c r="V124" i="2"/>
  <c r="S124" i="2"/>
  <c r="P124" i="2"/>
  <c r="M124" i="2"/>
  <c r="J124" i="2"/>
  <c r="F124" i="2"/>
  <c r="E124" i="2"/>
  <c r="AE123" i="2"/>
  <c r="AB123" i="2"/>
  <c r="Y123" i="2"/>
  <c r="V123" i="2"/>
  <c r="S123" i="2"/>
  <c r="P123" i="2"/>
  <c r="M123" i="2"/>
  <c r="J123" i="2"/>
  <c r="F123" i="2"/>
  <c r="E123" i="2"/>
  <c r="AE122" i="2"/>
  <c r="AB122" i="2"/>
  <c r="Y122" i="2"/>
  <c r="V122" i="2"/>
  <c r="S122" i="2"/>
  <c r="P122" i="2"/>
  <c r="M122" i="2"/>
  <c r="J122" i="2"/>
  <c r="F122" i="2"/>
  <c r="E122" i="2"/>
  <c r="AE121" i="2"/>
  <c r="AB121" i="2"/>
  <c r="Y121" i="2"/>
  <c r="V121" i="2"/>
  <c r="S121" i="2"/>
  <c r="P121" i="2"/>
  <c r="M121" i="2"/>
  <c r="J121" i="2"/>
  <c r="F121" i="2"/>
  <c r="E121" i="2"/>
  <c r="AE120" i="2"/>
  <c r="AB120" i="2"/>
  <c r="Y120" i="2"/>
  <c r="V120" i="2"/>
  <c r="S120" i="2"/>
  <c r="P120" i="2"/>
  <c r="M120" i="2"/>
  <c r="J120" i="2"/>
  <c r="F120" i="2"/>
  <c r="E120" i="2"/>
  <c r="AE119" i="2"/>
  <c r="AB119" i="2"/>
  <c r="Y119" i="2"/>
  <c r="V119" i="2"/>
  <c r="S119" i="2"/>
  <c r="P119" i="2"/>
  <c r="M119" i="2"/>
  <c r="J119" i="2"/>
  <c r="F119" i="2"/>
  <c r="E119" i="2"/>
  <c r="AE118" i="2"/>
  <c r="AB118" i="2"/>
  <c r="Y118" i="2"/>
  <c r="V118" i="2"/>
  <c r="S118" i="2"/>
  <c r="P118" i="2"/>
  <c r="M118" i="2"/>
  <c r="J118" i="2"/>
  <c r="F118" i="2"/>
  <c r="E118" i="2"/>
  <c r="AE117" i="2"/>
  <c r="AB117" i="2"/>
  <c r="X117" i="2"/>
  <c r="W117" i="2"/>
  <c r="Y117" i="2" s="1"/>
  <c r="V117" i="2"/>
  <c r="S117" i="2"/>
  <c r="P117" i="2"/>
  <c r="M117" i="2"/>
  <c r="J117" i="2"/>
  <c r="F117" i="2"/>
  <c r="E117" i="2"/>
  <c r="AD116" i="2"/>
  <c r="AC116" i="2"/>
  <c r="AA116" i="2"/>
  <c r="Z116" i="2"/>
  <c r="X116" i="2"/>
  <c r="U116" i="2"/>
  <c r="T116" i="2"/>
  <c r="R116" i="2"/>
  <c r="Q116" i="2"/>
  <c r="O116" i="2"/>
  <c r="N116" i="2"/>
  <c r="L116" i="2"/>
  <c r="K116" i="2"/>
  <c r="I116" i="2"/>
  <c r="H116" i="2"/>
  <c r="AE115" i="2"/>
  <c r="AB115" i="2"/>
  <c r="Y115" i="2"/>
  <c r="V115" i="2"/>
  <c r="S115" i="2"/>
  <c r="P115" i="2"/>
  <c r="M115" i="2"/>
  <c r="J115" i="2"/>
  <c r="F115" i="2"/>
  <c r="E115" i="2"/>
  <c r="AD114" i="2"/>
  <c r="AC114" i="2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AE113" i="2"/>
  <c r="AB113" i="2"/>
  <c r="Y113" i="2"/>
  <c r="V113" i="2"/>
  <c r="S113" i="2"/>
  <c r="P113" i="2"/>
  <c r="M113" i="2"/>
  <c r="J113" i="2"/>
  <c r="F113" i="2"/>
  <c r="E113" i="2"/>
  <c r="AE112" i="2"/>
  <c r="AB112" i="2"/>
  <c r="Y112" i="2"/>
  <c r="V112" i="2"/>
  <c r="S112" i="2"/>
  <c r="P112" i="2"/>
  <c r="M112" i="2"/>
  <c r="J112" i="2"/>
  <c r="F112" i="2"/>
  <c r="E112" i="2"/>
  <c r="AE111" i="2"/>
  <c r="AB111" i="2"/>
  <c r="Y111" i="2"/>
  <c r="V111" i="2"/>
  <c r="S111" i="2"/>
  <c r="O111" i="2"/>
  <c r="P111" i="2" s="1"/>
  <c r="M111" i="2"/>
  <c r="J111" i="2"/>
  <c r="F111" i="2"/>
  <c r="E111" i="2"/>
  <c r="AE110" i="2"/>
  <c r="AB110" i="2"/>
  <c r="Y110" i="2"/>
  <c r="V110" i="2"/>
  <c r="S110" i="2"/>
  <c r="P110" i="2"/>
  <c r="M110" i="2"/>
  <c r="J110" i="2"/>
  <c r="F110" i="2"/>
  <c r="E110" i="2"/>
  <c r="AE109" i="2"/>
  <c r="AB109" i="2"/>
  <c r="Y109" i="2"/>
  <c r="V109" i="2"/>
  <c r="S109" i="2"/>
  <c r="P109" i="2"/>
  <c r="M109" i="2"/>
  <c r="J109" i="2"/>
  <c r="F109" i="2"/>
  <c r="E109" i="2"/>
  <c r="AD108" i="2"/>
  <c r="AC108" i="2"/>
  <c r="AA108" i="2"/>
  <c r="Z108" i="2"/>
  <c r="X108" i="2"/>
  <c r="W108" i="2"/>
  <c r="U108" i="2"/>
  <c r="T108" i="2"/>
  <c r="R108" i="2"/>
  <c r="Q108" i="2"/>
  <c r="O108" i="2"/>
  <c r="N108" i="2"/>
  <c r="L108" i="2"/>
  <c r="K108" i="2"/>
  <c r="I108" i="2"/>
  <c r="H108" i="2"/>
  <c r="AE105" i="2"/>
  <c r="AB105" i="2"/>
  <c r="Y105" i="2"/>
  <c r="V105" i="2"/>
  <c r="R105" i="2"/>
  <c r="F105" i="2" s="1"/>
  <c r="Q105" i="2"/>
  <c r="P105" i="2"/>
  <c r="M105" i="2"/>
  <c r="J105" i="2"/>
  <c r="E105" i="2"/>
  <c r="AE104" i="2"/>
  <c r="AB104" i="2"/>
  <c r="Y104" i="2"/>
  <c r="V104" i="2"/>
  <c r="S104" i="2"/>
  <c r="P104" i="2"/>
  <c r="M104" i="2"/>
  <c r="I104" i="2"/>
  <c r="F104" i="2" s="1"/>
  <c r="E104" i="2"/>
  <c r="AE103" i="2"/>
  <c r="AB103" i="2"/>
  <c r="Y103" i="2"/>
  <c r="V103" i="2"/>
  <c r="R103" i="2"/>
  <c r="Q103" i="2"/>
  <c r="S103" i="2" s="1"/>
  <c r="P103" i="2"/>
  <c r="M103" i="2"/>
  <c r="J103" i="2"/>
  <c r="F103" i="2"/>
  <c r="E103" i="2"/>
  <c r="AD102" i="2"/>
  <c r="AE102" i="2" s="1"/>
  <c r="AB102" i="2"/>
  <c r="Y102" i="2"/>
  <c r="V102" i="2"/>
  <c r="S102" i="2"/>
  <c r="O102" i="2"/>
  <c r="N102" i="2"/>
  <c r="N101" i="2" s="1"/>
  <c r="N100" i="2" s="1"/>
  <c r="M102" i="2"/>
  <c r="I102" i="2"/>
  <c r="H102" i="2"/>
  <c r="AD101" i="2"/>
  <c r="AD100" i="2" s="1"/>
  <c r="AC101" i="2"/>
  <c r="AA101" i="2"/>
  <c r="Z101" i="2"/>
  <c r="Z100" i="2" s="1"/>
  <c r="X101" i="2"/>
  <c r="W101" i="2"/>
  <c r="W100" i="2" s="1"/>
  <c r="U101" i="2"/>
  <c r="U100" i="2" s="1"/>
  <c r="T101" i="2"/>
  <c r="T100" i="2" s="1"/>
  <c r="R101" i="2"/>
  <c r="Q101" i="2"/>
  <c r="Q100" i="2" s="1"/>
  <c r="O101" i="2"/>
  <c r="O100" i="2" s="1"/>
  <c r="L101" i="2"/>
  <c r="L100" i="2" s="1"/>
  <c r="K101" i="2"/>
  <c r="K100" i="2" s="1"/>
  <c r="I101" i="2"/>
  <c r="H101" i="2"/>
  <c r="H100" i="2" s="1"/>
  <c r="R100" i="2"/>
  <c r="AE99" i="2"/>
  <c r="AB99" i="2"/>
  <c r="Y99" i="2"/>
  <c r="V99" i="2"/>
  <c r="S99" i="2"/>
  <c r="P99" i="2"/>
  <c r="M99" i="2"/>
  <c r="J99" i="2"/>
  <c r="F99" i="2"/>
  <c r="E99" i="2"/>
  <c r="AD98" i="2"/>
  <c r="AC98" i="2"/>
  <c r="AB98" i="2"/>
  <c r="Y98" i="2"/>
  <c r="V98" i="2"/>
  <c r="S98" i="2"/>
  <c r="O98" i="2"/>
  <c r="N98" i="2"/>
  <c r="N93" i="2" s="1"/>
  <c r="M98" i="2"/>
  <c r="J98" i="2"/>
  <c r="F98" i="2"/>
  <c r="E98" i="2"/>
  <c r="AD97" i="2"/>
  <c r="AC97" i="2"/>
  <c r="AB97" i="2"/>
  <c r="Y97" i="2"/>
  <c r="V97" i="2"/>
  <c r="S97" i="2"/>
  <c r="O97" i="2"/>
  <c r="O93" i="2" s="1"/>
  <c r="O92" i="2" s="1"/>
  <c r="N97" i="2"/>
  <c r="M97" i="2"/>
  <c r="J97" i="2"/>
  <c r="AE96" i="2"/>
  <c r="AB96" i="2"/>
  <c r="Y96" i="2"/>
  <c r="V96" i="2"/>
  <c r="S96" i="2"/>
  <c r="P96" i="2"/>
  <c r="M96" i="2"/>
  <c r="J96" i="2"/>
  <c r="F96" i="2"/>
  <c r="E96" i="2"/>
  <c r="AE95" i="2"/>
  <c r="AB95" i="2"/>
  <c r="Y95" i="2"/>
  <c r="V95" i="2"/>
  <c r="S95" i="2"/>
  <c r="P95" i="2"/>
  <c r="M95" i="2"/>
  <c r="J95" i="2"/>
  <c r="F95" i="2"/>
  <c r="E95" i="2"/>
  <c r="AE94" i="2"/>
  <c r="AB94" i="2"/>
  <c r="X94" i="2"/>
  <c r="X93" i="2" s="1"/>
  <c r="W94" i="2"/>
  <c r="W93" i="2" s="1"/>
  <c r="W92" i="2" s="1"/>
  <c r="V94" i="2"/>
  <c r="S94" i="2"/>
  <c r="P94" i="2"/>
  <c r="M94" i="2"/>
  <c r="J94" i="2"/>
  <c r="E94" i="2"/>
  <c r="AD93" i="2"/>
  <c r="AC93" i="2"/>
  <c r="AC92" i="2" s="1"/>
  <c r="AA93" i="2"/>
  <c r="Z93" i="2"/>
  <c r="AB93" i="2" s="1"/>
  <c r="U93" i="2"/>
  <c r="T93" i="2"/>
  <c r="T92" i="2" s="1"/>
  <c r="R93" i="2"/>
  <c r="Q93" i="2"/>
  <c r="Q92" i="2" s="1"/>
  <c r="L93" i="2"/>
  <c r="K93" i="2"/>
  <c r="K92" i="2" s="1"/>
  <c r="I93" i="2"/>
  <c r="I92" i="2" s="1"/>
  <c r="H93" i="2"/>
  <c r="J93" i="2" s="1"/>
  <c r="AA92" i="2"/>
  <c r="AE91" i="2"/>
  <c r="AB91" i="2"/>
  <c r="Y91" i="2"/>
  <c r="V91" i="2"/>
  <c r="S91" i="2"/>
  <c r="P91" i="2"/>
  <c r="M91" i="2"/>
  <c r="J91" i="2"/>
  <c r="F91" i="2"/>
  <c r="E91" i="2"/>
  <c r="AE90" i="2"/>
  <c r="AB90" i="2"/>
  <c r="Y90" i="2"/>
  <c r="V90" i="2"/>
  <c r="S90" i="2"/>
  <c r="P90" i="2"/>
  <c r="M90" i="2"/>
  <c r="J90" i="2"/>
  <c r="F90" i="2"/>
  <c r="E90" i="2"/>
  <c r="AE89" i="2"/>
  <c r="AB89" i="2"/>
  <c r="Y89" i="2"/>
  <c r="V89" i="2"/>
  <c r="S89" i="2"/>
  <c r="O89" i="2"/>
  <c r="P89" i="2" s="1"/>
  <c r="N89" i="2"/>
  <c r="N76" i="2" s="1"/>
  <c r="N75" i="2" s="1"/>
  <c r="L89" i="2"/>
  <c r="K89" i="2"/>
  <c r="I89" i="2"/>
  <c r="H89" i="2"/>
  <c r="J89" i="2" s="1"/>
  <c r="AE88" i="2"/>
  <c r="AB88" i="2"/>
  <c r="Y88" i="2"/>
  <c r="V88" i="2"/>
  <c r="S88" i="2"/>
  <c r="P88" i="2"/>
  <c r="M88" i="2"/>
  <c r="J88" i="2"/>
  <c r="F88" i="2"/>
  <c r="E88" i="2"/>
  <c r="AE87" i="2"/>
  <c r="AB87" i="2"/>
  <c r="Y87" i="2"/>
  <c r="V87" i="2"/>
  <c r="S87" i="2"/>
  <c r="P87" i="2"/>
  <c r="M87" i="2"/>
  <c r="J87" i="2"/>
  <c r="F87" i="2"/>
  <c r="E87" i="2"/>
  <c r="AE86" i="2"/>
  <c r="AB86" i="2"/>
  <c r="Y86" i="2"/>
  <c r="V86" i="2"/>
  <c r="S86" i="2"/>
  <c r="P86" i="2"/>
  <c r="M86" i="2"/>
  <c r="J86" i="2"/>
  <c r="F86" i="2"/>
  <c r="E86" i="2"/>
  <c r="AE85" i="2"/>
  <c r="AB85" i="2"/>
  <c r="Y85" i="2"/>
  <c r="V85" i="2"/>
  <c r="S85" i="2"/>
  <c r="P85" i="2"/>
  <c r="M85" i="2"/>
  <c r="J85" i="2"/>
  <c r="F85" i="2"/>
  <c r="E85" i="2"/>
  <c r="AE84" i="2"/>
  <c r="AB84" i="2"/>
  <c r="Y84" i="2"/>
  <c r="V84" i="2"/>
  <c r="S84" i="2"/>
  <c r="P84" i="2"/>
  <c r="M84" i="2"/>
  <c r="J84" i="2"/>
  <c r="F84" i="2"/>
  <c r="E84" i="2"/>
  <c r="AE83" i="2"/>
  <c r="AB83" i="2"/>
  <c r="X83" i="2"/>
  <c r="Y83" i="2" s="1"/>
  <c r="W83" i="2"/>
  <c r="V83" i="2"/>
  <c r="S83" i="2"/>
  <c r="P83" i="2"/>
  <c r="O83" i="2"/>
  <c r="M83" i="2"/>
  <c r="I83" i="2"/>
  <c r="I76" i="2" s="1"/>
  <c r="E83" i="2"/>
  <c r="AE82" i="2"/>
  <c r="AB82" i="2"/>
  <c r="Y82" i="2"/>
  <c r="V82" i="2"/>
  <c r="S82" i="2"/>
  <c r="P82" i="2"/>
  <c r="M82" i="2"/>
  <c r="J82" i="2"/>
  <c r="F82" i="2"/>
  <c r="E82" i="2"/>
  <c r="AE81" i="2"/>
  <c r="AB81" i="2"/>
  <c r="Y81" i="2"/>
  <c r="V81" i="2"/>
  <c r="S81" i="2"/>
  <c r="O81" i="2"/>
  <c r="P81" i="2" s="1"/>
  <c r="M81" i="2"/>
  <c r="J81" i="2"/>
  <c r="E81" i="2"/>
  <c r="AE80" i="2"/>
  <c r="AB80" i="2"/>
  <c r="Y80" i="2"/>
  <c r="V80" i="2"/>
  <c r="S80" i="2"/>
  <c r="P80" i="2"/>
  <c r="M80" i="2"/>
  <c r="J80" i="2"/>
  <c r="F80" i="2"/>
  <c r="E80" i="2"/>
  <c r="AE79" i="2"/>
  <c r="AB79" i="2"/>
  <c r="Y79" i="2"/>
  <c r="V79" i="2"/>
  <c r="S79" i="2"/>
  <c r="P79" i="2"/>
  <c r="M79" i="2"/>
  <c r="J79" i="2"/>
  <c r="F79" i="2"/>
  <c r="E79" i="2"/>
  <c r="AE78" i="2"/>
  <c r="AB78" i="2"/>
  <c r="Y78" i="2"/>
  <c r="V78" i="2"/>
  <c r="S78" i="2"/>
  <c r="P78" i="2"/>
  <c r="M78" i="2"/>
  <c r="J78" i="2"/>
  <c r="F78" i="2"/>
  <c r="E78" i="2"/>
  <c r="AE77" i="2"/>
  <c r="AB77" i="2"/>
  <c r="Y77" i="2"/>
  <c r="V77" i="2"/>
  <c r="S77" i="2"/>
  <c r="P77" i="2"/>
  <c r="M77" i="2"/>
  <c r="J77" i="2"/>
  <c r="F77" i="2"/>
  <c r="E77" i="2"/>
  <c r="AD76" i="2"/>
  <c r="AC76" i="2"/>
  <c r="AC75" i="2" s="1"/>
  <c r="AA76" i="2"/>
  <c r="Z76" i="2"/>
  <c r="Z75" i="2" s="1"/>
  <c r="X76" i="2"/>
  <c r="W76" i="2"/>
  <c r="U76" i="2"/>
  <c r="U75" i="2" s="1"/>
  <c r="T76" i="2"/>
  <c r="R76" i="2"/>
  <c r="Q76" i="2"/>
  <c r="Q75" i="2" s="1"/>
  <c r="O76" i="2"/>
  <c r="O75" i="2" s="1"/>
  <c r="L76" i="2"/>
  <c r="K76" i="2"/>
  <c r="K75" i="2" s="1"/>
  <c r="W75" i="2"/>
  <c r="AE74" i="2"/>
  <c r="AB74" i="2"/>
  <c r="Y74" i="2"/>
  <c r="U74" i="2"/>
  <c r="U63" i="2" s="1"/>
  <c r="U62" i="2" s="1"/>
  <c r="S74" i="2"/>
  <c r="R74" i="2"/>
  <c r="F74" i="2" s="1"/>
  <c r="Q74" i="2"/>
  <c r="P74" i="2"/>
  <c r="M74" i="2"/>
  <c r="J74" i="2"/>
  <c r="E74" i="2"/>
  <c r="AE73" i="2"/>
  <c r="AB73" i="2"/>
  <c r="Y73" i="2"/>
  <c r="V73" i="2"/>
  <c r="S73" i="2"/>
  <c r="O73" i="2"/>
  <c r="P73" i="2" s="1"/>
  <c r="M73" i="2"/>
  <c r="J73" i="2"/>
  <c r="F73" i="2"/>
  <c r="E73" i="2"/>
  <c r="AE72" i="2"/>
  <c r="AB72" i="2"/>
  <c r="Y72" i="2"/>
  <c r="V72" i="2"/>
  <c r="S72" i="2"/>
  <c r="P72" i="2"/>
  <c r="M72" i="2"/>
  <c r="J72" i="2"/>
  <c r="F72" i="2"/>
  <c r="E72" i="2"/>
  <c r="AE71" i="2"/>
  <c r="AB71" i="2"/>
  <c r="Y71" i="2"/>
  <c r="V71" i="2"/>
  <c r="S71" i="2"/>
  <c r="P71" i="2"/>
  <c r="M71" i="2"/>
  <c r="J71" i="2"/>
  <c r="F71" i="2"/>
  <c r="E71" i="2"/>
  <c r="AE70" i="2"/>
  <c r="AB70" i="2"/>
  <c r="Y70" i="2"/>
  <c r="V70" i="2"/>
  <c r="S70" i="2"/>
  <c r="P70" i="2"/>
  <c r="M70" i="2"/>
  <c r="J70" i="2"/>
  <c r="F70" i="2"/>
  <c r="E70" i="2"/>
  <c r="AE69" i="2"/>
  <c r="AB69" i="2"/>
  <c r="Y69" i="2"/>
  <c r="V69" i="2"/>
  <c r="S69" i="2"/>
  <c r="O69" i="2"/>
  <c r="P69" i="2" s="1"/>
  <c r="M69" i="2"/>
  <c r="J69" i="2"/>
  <c r="F69" i="2"/>
  <c r="E69" i="2"/>
  <c r="AE68" i="2"/>
  <c r="AB68" i="2"/>
  <c r="Y68" i="2"/>
  <c r="V68" i="2"/>
  <c r="S68" i="2"/>
  <c r="P68" i="2"/>
  <c r="M68" i="2"/>
  <c r="J68" i="2"/>
  <c r="F68" i="2"/>
  <c r="E68" i="2"/>
  <c r="AE67" i="2"/>
  <c r="AB67" i="2"/>
  <c r="Y67" i="2"/>
  <c r="V67" i="2"/>
  <c r="S67" i="2"/>
  <c r="O67" i="2"/>
  <c r="P67" i="2" s="1"/>
  <c r="M67" i="2"/>
  <c r="J67" i="2"/>
  <c r="E67" i="2"/>
  <c r="AE66" i="2"/>
  <c r="AB66" i="2"/>
  <c r="Y66" i="2"/>
  <c r="V66" i="2"/>
  <c r="S66" i="2"/>
  <c r="P66" i="2"/>
  <c r="M66" i="2"/>
  <c r="J66" i="2"/>
  <c r="F66" i="2"/>
  <c r="E66" i="2"/>
  <c r="AE65" i="2"/>
  <c r="AB65" i="2"/>
  <c r="Y65" i="2"/>
  <c r="V65" i="2"/>
  <c r="S65" i="2"/>
  <c r="O65" i="2"/>
  <c r="O63" i="2" s="1"/>
  <c r="M65" i="2"/>
  <c r="J65" i="2"/>
  <c r="E65" i="2"/>
  <c r="AE64" i="2"/>
  <c r="AB64" i="2"/>
  <c r="Y64" i="2"/>
  <c r="V64" i="2"/>
  <c r="S64" i="2"/>
  <c r="P64" i="2"/>
  <c r="M64" i="2"/>
  <c r="J64" i="2"/>
  <c r="F64" i="2"/>
  <c r="E64" i="2"/>
  <c r="AD63" i="2"/>
  <c r="AC63" i="2"/>
  <c r="AC62" i="2" s="1"/>
  <c r="AA63" i="2"/>
  <c r="AA62" i="2" s="1"/>
  <c r="Z63" i="2"/>
  <c r="X63" i="2"/>
  <c r="W63" i="2"/>
  <c r="W62" i="2" s="1"/>
  <c r="T63" i="2"/>
  <c r="T62" i="2" s="1"/>
  <c r="R63" i="2"/>
  <c r="Q63" i="2"/>
  <c r="Q62" i="2" s="1"/>
  <c r="N63" i="2"/>
  <c r="N62" i="2" s="1"/>
  <c r="L63" i="2"/>
  <c r="K63" i="2"/>
  <c r="K62" i="2" s="1"/>
  <c r="I63" i="2"/>
  <c r="H63" i="2"/>
  <c r="AE61" i="2"/>
  <c r="AB61" i="2"/>
  <c r="Y61" i="2"/>
  <c r="V61" i="2"/>
  <c r="S61" i="2"/>
  <c r="P61" i="2"/>
  <c r="M61" i="2"/>
  <c r="J61" i="2"/>
  <c r="F61" i="2"/>
  <c r="E61" i="2"/>
  <c r="AE60" i="2"/>
  <c r="AB60" i="2"/>
  <c r="Y60" i="2"/>
  <c r="U60" i="2"/>
  <c r="V60" i="2" s="1"/>
  <c r="T60" i="2"/>
  <c r="S60" i="2"/>
  <c r="P60" i="2"/>
  <c r="M60" i="2"/>
  <c r="J60" i="2"/>
  <c r="E60" i="2"/>
  <c r="AE59" i="2"/>
  <c r="AB59" i="2"/>
  <c r="Y59" i="2"/>
  <c r="V59" i="2"/>
  <c r="S59" i="2"/>
  <c r="P59" i="2"/>
  <c r="M59" i="2"/>
  <c r="J59" i="2"/>
  <c r="F59" i="2"/>
  <c r="E59" i="2"/>
  <c r="AE58" i="2"/>
  <c r="AB58" i="2"/>
  <c r="Y58" i="2"/>
  <c r="V58" i="2"/>
  <c r="S58" i="2"/>
  <c r="P58" i="2"/>
  <c r="M58" i="2"/>
  <c r="J58" i="2"/>
  <c r="F58" i="2"/>
  <c r="E58" i="2"/>
  <c r="AE57" i="2"/>
  <c r="AB57" i="2"/>
  <c r="Y57" i="2"/>
  <c r="V57" i="2"/>
  <c r="S57" i="2"/>
  <c r="P57" i="2"/>
  <c r="M57" i="2"/>
  <c r="J57" i="2"/>
  <c r="F57" i="2"/>
  <c r="E57" i="2"/>
  <c r="AE56" i="2"/>
  <c r="AB56" i="2"/>
  <c r="Y56" i="2"/>
  <c r="V56" i="2"/>
  <c r="S56" i="2"/>
  <c r="P56" i="2"/>
  <c r="M56" i="2"/>
  <c r="J56" i="2"/>
  <c r="F56" i="2"/>
  <c r="E56" i="2"/>
  <c r="AE55" i="2"/>
  <c r="AB55" i="2"/>
  <c r="Y55" i="2"/>
  <c r="V55" i="2"/>
  <c r="S55" i="2"/>
  <c r="P55" i="2"/>
  <c r="M55" i="2"/>
  <c r="J55" i="2"/>
  <c r="F55" i="2"/>
  <c r="E55" i="2"/>
  <c r="AE54" i="2"/>
  <c r="AB54" i="2"/>
  <c r="Y54" i="2"/>
  <c r="V54" i="2"/>
  <c r="S54" i="2"/>
  <c r="P54" i="2"/>
  <c r="M54" i="2"/>
  <c r="J54" i="2"/>
  <c r="F54" i="2"/>
  <c r="E54" i="2"/>
  <c r="AE53" i="2"/>
  <c r="AB53" i="2"/>
  <c r="Y53" i="2"/>
  <c r="V53" i="2"/>
  <c r="S53" i="2"/>
  <c r="P53" i="2"/>
  <c r="M53" i="2"/>
  <c r="J53" i="2"/>
  <c r="F53" i="2"/>
  <c r="E53" i="2"/>
  <c r="AD52" i="2"/>
  <c r="AC52" i="2"/>
  <c r="AE52" i="2" s="1"/>
  <c r="AB52" i="2"/>
  <c r="Y52" i="2"/>
  <c r="U52" i="2"/>
  <c r="T52" i="2"/>
  <c r="S52" i="2"/>
  <c r="P52" i="2"/>
  <c r="M52" i="2"/>
  <c r="J52" i="2"/>
  <c r="E52" i="2"/>
  <c r="AD51" i="2"/>
  <c r="AA51" i="2"/>
  <c r="Z51" i="2"/>
  <c r="Z50" i="2" s="1"/>
  <c r="X51" i="2"/>
  <c r="W51" i="2"/>
  <c r="W50" i="2" s="1"/>
  <c r="T51" i="2"/>
  <c r="T50" i="2" s="1"/>
  <c r="R51" i="2"/>
  <c r="Q51" i="2"/>
  <c r="Q50" i="2" s="1"/>
  <c r="O51" i="2"/>
  <c r="O50" i="2" s="1"/>
  <c r="N51" i="2"/>
  <c r="N50" i="2" s="1"/>
  <c r="L51" i="2"/>
  <c r="K51" i="2"/>
  <c r="K50" i="2" s="1"/>
  <c r="I51" i="2"/>
  <c r="I50" i="2" s="1"/>
  <c r="H51" i="2"/>
  <c r="J51" i="2" s="1"/>
  <c r="AE49" i="2"/>
  <c r="AB49" i="2"/>
  <c r="Y49" i="2"/>
  <c r="V49" i="2"/>
  <c r="S49" i="2"/>
  <c r="P49" i="2"/>
  <c r="M49" i="2"/>
  <c r="J49" i="2"/>
  <c r="F49" i="2"/>
  <c r="E49" i="2"/>
  <c r="AD48" i="2"/>
  <c r="AC48" i="2"/>
  <c r="AB48" i="2"/>
  <c r="Y48" i="2"/>
  <c r="V48" i="2"/>
  <c r="S48" i="2"/>
  <c r="O48" i="2"/>
  <c r="N48" i="2"/>
  <c r="P48" i="2" s="1"/>
  <c r="M48" i="2"/>
  <c r="J48" i="2"/>
  <c r="I48" i="2"/>
  <c r="F48" i="2" s="1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E45" i="2"/>
  <c r="AB45" i="2"/>
  <c r="Y45" i="2"/>
  <c r="V45" i="2"/>
  <c r="S45" i="2"/>
  <c r="P45" i="2"/>
  <c r="M45" i="2"/>
  <c r="J45" i="2"/>
  <c r="F45" i="2"/>
  <c r="E45" i="2"/>
  <c r="AE44" i="2"/>
  <c r="AB44" i="2"/>
  <c r="Y44" i="2"/>
  <c r="V44" i="2"/>
  <c r="S44" i="2"/>
  <c r="P44" i="2"/>
  <c r="M44" i="2"/>
  <c r="J44" i="2"/>
  <c r="F44" i="2"/>
  <c r="E44" i="2"/>
  <c r="AE43" i="2"/>
  <c r="AB43" i="2"/>
  <c r="X43" i="2"/>
  <c r="Y43" i="2" s="1"/>
  <c r="V43" i="2"/>
  <c r="S43" i="2"/>
  <c r="O43" i="2"/>
  <c r="P43" i="2" s="1"/>
  <c r="M43" i="2"/>
  <c r="J43" i="2"/>
  <c r="E43" i="2"/>
  <c r="AC42" i="2"/>
  <c r="AC41" i="2" s="1"/>
  <c r="AA42" i="2"/>
  <c r="Z42" i="2"/>
  <c r="Z41" i="2" s="1"/>
  <c r="W42" i="2"/>
  <c r="W41" i="2" s="1"/>
  <c r="U42" i="2"/>
  <c r="U41" i="2" s="1"/>
  <c r="R42" i="2"/>
  <c r="R41" i="2" s="1"/>
  <c r="Q42" i="2"/>
  <c r="Q41" i="2" s="1"/>
  <c r="O42" i="2"/>
  <c r="L42" i="2"/>
  <c r="K42" i="2"/>
  <c r="I42" i="2"/>
  <c r="I41" i="2" s="1"/>
  <c r="H42" i="2"/>
  <c r="H41" i="2" s="1"/>
  <c r="J41" i="2" s="1"/>
  <c r="AE40" i="2"/>
  <c r="AB40" i="2"/>
  <c r="Y40" i="2"/>
  <c r="V40" i="2"/>
  <c r="S40" i="2"/>
  <c r="O40" i="2"/>
  <c r="P40" i="2" s="1"/>
  <c r="N40" i="2"/>
  <c r="M40" i="2"/>
  <c r="J40" i="2"/>
  <c r="E40" i="2"/>
  <c r="AE39" i="2"/>
  <c r="AB39" i="2"/>
  <c r="Y39" i="2"/>
  <c r="V39" i="2"/>
  <c r="S39" i="2"/>
  <c r="P39" i="2"/>
  <c r="M39" i="2"/>
  <c r="J39" i="2"/>
  <c r="F39" i="2"/>
  <c r="E39" i="2"/>
  <c r="AE38" i="2"/>
  <c r="AB38" i="2"/>
  <c r="Y38" i="2"/>
  <c r="V38" i="2"/>
  <c r="S38" i="2"/>
  <c r="P38" i="2"/>
  <c r="M38" i="2"/>
  <c r="J38" i="2"/>
  <c r="F38" i="2"/>
  <c r="E38" i="2"/>
  <c r="AE37" i="2"/>
  <c r="AB37" i="2"/>
  <c r="Y37" i="2"/>
  <c r="V37" i="2"/>
  <c r="S37" i="2"/>
  <c r="P37" i="2"/>
  <c r="M37" i="2"/>
  <c r="J37" i="2"/>
  <c r="F37" i="2"/>
  <c r="E37" i="2"/>
  <c r="AE36" i="2"/>
  <c r="AB36" i="2"/>
  <c r="Y36" i="2"/>
  <c r="V36" i="2"/>
  <c r="S36" i="2"/>
  <c r="P36" i="2"/>
  <c r="M36" i="2"/>
  <c r="J36" i="2"/>
  <c r="F36" i="2"/>
  <c r="E36" i="2"/>
  <c r="AE35" i="2"/>
  <c r="AB35" i="2"/>
  <c r="Y35" i="2"/>
  <c r="V35" i="2"/>
  <c r="S35" i="2"/>
  <c r="P35" i="2"/>
  <c r="M35" i="2"/>
  <c r="J35" i="2"/>
  <c r="F35" i="2"/>
  <c r="E35" i="2"/>
  <c r="AE34" i="2"/>
  <c r="AB34" i="2"/>
  <c r="Y34" i="2"/>
  <c r="V34" i="2"/>
  <c r="S34" i="2"/>
  <c r="P34" i="2"/>
  <c r="M34" i="2"/>
  <c r="J34" i="2"/>
  <c r="F34" i="2"/>
  <c r="E34" i="2"/>
  <c r="AE33" i="2"/>
  <c r="AB33" i="2"/>
  <c r="Y33" i="2"/>
  <c r="V33" i="2"/>
  <c r="S33" i="2"/>
  <c r="P33" i="2"/>
  <c r="M33" i="2"/>
  <c r="J33" i="2"/>
  <c r="F33" i="2"/>
  <c r="E33" i="2"/>
  <c r="AE32" i="2"/>
  <c r="AB32" i="2"/>
  <c r="Y32" i="2"/>
  <c r="V32" i="2"/>
  <c r="S32" i="2"/>
  <c r="P32" i="2"/>
  <c r="M32" i="2"/>
  <c r="J32" i="2"/>
  <c r="F32" i="2"/>
  <c r="E32" i="2"/>
  <c r="AD31" i="2"/>
  <c r="AE31" i="2" s="1"/>
  <c r="AC31" i="2"/>
  <c r="AB31" i="2"/>
  <c r="Y31" i="2"/>
  <c r="V31" i="2"/>
  <c r="S31" i="2"/>
  <c r="O31" i="2"/>
  <c r="N31" i="2"/>
  <c r="M31" i="2"/>
  <c r="J31" i="2"/>
  <c r="F31" i="2"/>
  <c r="AD30" i="2"/>
  <c r="AC30" i="2"/>
  <c r="AB30" i="2"/>
  <c r="Y30" i="2"/>
  <c r="V30" i="2"/>
  <c r="S30" i="2"/>
  <c r="O30" i="2"/>
  <c r="N30" i="2"/>
  <c r="N27" i="2" s="1"/>
  <c r="N26" i="2" s="1"/>
  <c r="M30" i="2"/>
  <c r="J30" i="2"/>
  <c r="AE29" i="2"/>
  <c r="AB29" i="2"/>
  <c r="Y29" i="2"/>
  <c r="V29" i="2"/>
  <c r="S29" i="2"/>
  <c r="P29" i="2"/>
  <c r="M29" i="2"/>
  <c r="J29" i="2"/>
  <c r="F29" i="2"/>
  <c r="E29" i="2"/>
  <c r="AE28" i="2"/>
  <c r="AB28" i="2"/>
  <c r="Y28" i="2"/>
  <c r="V28" i="2"/>
  <c r="S28" i="2"/>
  <c r="P28" i="2"/>
  <c r="M28" i="2"/>
  <c r="J28" i="2"/>
  <c r="F28" i="2"/>
  <c r="E28" i="2"/>
  <c r="AD27" i="2"/>
  <c r="AA27" i="2"/>
  <c r="AA26" i="2" s="1"/>
  <c r="Z27" i="2"/>
  <c r="X27" i="2"/>
  <c r="W27" i="2"/>
  <c r="W26" i="2" s="1"/>
  <c r="U27" i="2"/>
  <c r="T27" i="2"/>
  <c r="T26" i="2" s="1"/>
  <c r="R27" i="2"/>
  <c r="Q27" i="2"/>
  <c r="Q26" i="2" s="1"/>
  <c r="L27" i="2"/>
  <c r="L26" i="2" s="1"/>
  <c r="K27" i="2"/>
  <c r="K26" i="2" s="1"/>
  <c r="I27" i="2"/>
  <c r="H27" i="2"/>
  <c r="H26" i="2" s="1"/>
  <c r="X26" i="2"/>
  <c r="AE25" i="2"/>
  <c r="AB25" i="2"/>
  <c r="Y25" i="2"/>
  <c r="V25" i="2"/>
  <c r="S25" i="2"/>
  <c r="O25" i="2"/>
  <c r="P25" i="2" s="1"/>
  <c r="N25" i="2"/>
  <c r="E25" i="2" s="1"/>
  <c r="M25" i="2"/>
  <c r="J25" i="2"/>
  <c r="F25" i="2"/>
  <c r="AE24" i="2"/>
  <c r="AB24" i="2"/>
  <c r="Y24" i="2"/>
  <c r="V24" i="2"/>
  <c r="S24" i="2"/>
  <c r="O24" i="2"/>
  <c r="N24" i="2"/>
  <c r="E24" i="2" s="1"/>
  <c r="M24" i="2"/>
  <c r="J24" i="2"/>
  <c r="AE23" i="2"/>
  <c r="AB23" i="2"/>
  <c r="Y23" i="2"/>
  <c r="V23" i="2"/>
  <c r="S23" i="2"/>
  <c r="P23" i="2"/>
  <c r="M23" i="2"/>
  <c r="J23" i="2"/>
  <c r="F23" i="2"/>
  <c r="E23" i="2"/>
  <c r="AE22" i="2"/>
  <c r="AB22" i="2"/>
  <c r="Y22" i="2"/>
  <c r="V22" i="2"/>
  <c r="S22" i="2"/>
  <c r="P22" i="2"/>
  <c r="M22" i="2"/>
  <c r="J22" i="2"/>
  <c r="F22" i="2"/>
  <c r="E22" i="2"/>
  <c r="AE21" i="2"/>
  <c r="AB21" i="2"/>
  <c r="Y21" i="2"/>
  <c r="V21" i="2"/>
  <c r="S21" i="2"/>
  <c r="P21" i="2"/>
  <c r="M21" i="2"/>
  <c r="J21" i="2"/>
  <c r="F21" i="2"/>
  <c r="E21" i="2"/>
  <c r="AE20" i="2"/>
  <c r="AB20" i="2"/>
  <c r="Y20" i="2"/>
  <c r="V20" i="2"/>
  <c r="S20" i="2"/>
  <c r="P20" i="2"/>
  <c r="M20" i="2"/>
  <c r="J20" i="2"/>
  <c r="F20" i="2"/>
  <c r="E20" i="2"/>
  <c r="AE19" i="2"/>
  <c r="AB19" i="2"/>
  <c r="Y19" i="2"/>
  <c r="V19" i="2"/>
  <c r="S19" i="2"/>
  <c r="O19" i="2"/>
  <c r="P19" i="2" s="1"/>
  <c r="N19" i="2"/>
  <c r="E19" i="2" s="1"/>
  <c r="M19" i="2"/>
  <c r="J19" i="2"/>
  <c r="F19" i="2"/>
  <c r="AE18" i="2"/>
  <c r="AB18" i="2"/>
  <c r="Y18" i="2"/>
  <c r="V18" i="2"/>
  <c r="S18" i="2"/>
  <c r="P18" i="2"/>
  <c r="M18" i="2"/>
  <c r="J18" i="2"/>
  <c r="F18" i="2"/>
  <c r="E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F16" i="2"/>
  <c r="E16" i="2"/>
  <c r="AE15" i="2"/>
  <c r="AB15" i="2"/>
  <c r="Y15" i="2"/>
  <c r="V15" i="2"/>
  <c r="S15" i="2"/>
  <c r="P15" i="2"/>
  <c r="M15" i="2"/>
  <c r="J15" i="2"/>
  <c r="F15" i="2"/>
  <c r="E15" i="2"/>
  <c r="AE14" i="2"/>
  <c r="AB14" i="2"/>
  <c r="Y14" i="2"/>
  <c r="V14" i="2"/>
  <c r="S14" i="2"/>
  <c r="P14" i="2"/>
  <c r="M14" i="2"/>
  <c r="J14" i="2"/>
  <c r="F14" i="2"/>
  <c r="E14" i="2"/>
  <c r="AE13" i="2"/>
  <c r="AB13" i="2"/>
  <c r="Y13" i="2"/>
  <c r="V13" i="2"/>
  <c r="S13" i="2"/>
  <c r="P13" i="2"/>
  <c r="M13" i="2"/>
  <c r="J13" i="2"/>
  <c r="F13" i="2"/>
  <c r="E13" i="2"/>
  <c r="AE12" i="2"/>
  <c r="AB12" i="2"/>
  <c r="Y12" i="2"/>
  <c r="V12" i="2"/>
  <c r="S12" i="2"/>
  <c r="O12" i="2"/>
  <c r="P12" i="2" s="1"/>
  <c r="N12" i="2"/>
  <c r="M12" i="2"/>
  <c r="J12" i="2"/>
  <c r="E12" i="2"/>
  <c r="AD11" i="2"/>
  <c r="AC11" i="2"/>
  <c r="AC10" i="2" s="1"/>
  <c r="AA11" i="2"/>
  <c r="Z11" i="2"/>
  <c r="Z10" i="2" s="1"/>
  <c r="X11" i="2"/>
  <c r="X10" i="2" s="1"/>
  <c r="W11" i="2"/>
  <c r="W10" i="2" s="1"/>
  <c r="U11" i="2"/>
  <c r="T11" i="2"/>
  <c r="R11" i="2"/>
  <c r="Q11" i="2"/>
  <c r="Q10" i="2" s="1"/>
  <c r="N11" i="2"/>
  <c r="N10" i="2" s="1"/>
  <c r="L11" i="2"/>
  <c r="K11" i="2"/>
  <c r="K10" i="2" s="1"/>
  <c r="I11" i="2"/>
  <c r="I10" i="2" s="1"/>
  <c r="H11" i="2"/>
  <c r="AA10" i="2"/>
  <c r="T10" i="2"/>
  <c r="L10" i="2"/>
  <c r="I42" i="3" l="1"/>
  <c r="F42" i="3"/>
  <c r="I54" i="3"/>
  <c r="D54" i="3"/>
  <c r="H54" i="3"/>
  <c r="K48" i="3"/>
  <c r="K42" i="3" s="1"/>
  <c r="Y170" i="2"/>
  <c r="AE170" i="2"/>
  <c r="AE199" i="2"/>
  <c r="S249" i="2"/>
  <c r="Y249" i="2"/>
  <c r="J339" i="2"/>
  <c r="J361" i="2"/>
  <c r="P129" i="2"/>
  <c r="AE137" i="2"/>
  <c r="P151" i="2"/>
  <c r="J129" i="2"/>
  <c r="G110" i="2"/>
  <c r="AE101" i="2"/>
  <c r="V114" i="2"/>
  <c r="M190" i="2"/>
  <c r="S241" i="2"/>
  <c r="M316" i="2"/>
  <c r="Y10" i="2"/>
  <c r="I198" i="2"/>
  <c r="P199" i="2"/>
  <c r="AB199" i="2"/>
  <c r="G287" i="2"/>
  <c r="I363" i="2"/>
  <c r="J363" i="2" s="1"/>
  <c r="V27" i="2"/>
  <c r="S137" i="2"/>
  <c r="J170" i="2"/>
  <c r="M11" i="2"/>
  <c r="M151" i="2"/>
  <c r="AE241" i="2"/>
  <c r="AB249" i="2"/>
  <c r="AE11" i="2"/>
  <c r="M26" i="2"/>
  <c r="M93" i="2"/>
  <c r="AE93" i="2"/>
  <c r="V180" i="2"/>
  <c r="V11" i="2"/>
  <c r="G88" i="2"/>
  <c r="S93" i="2"/>
  <c r="J149" i="2"/>
  <c r="P149" i="2"/>
  <c r="V149" i="2"/>
  <c r="V184" i="2"/>
  <c r="Y237" i="2"/>
  <c r="G254" i="2"/>
  <c r="S255" i="2"/>
  <c r="F97" i="2"/>
  <c r="U10" i="2"/>
  <c r="V10" i="2" s="1"/>
  <c r="J11" i="2"/>
  <c r="Q9" i="2"/>
  <c r="AB11" i="2"/>
  <c r="P24" i="2"/>
  <c r="G24" i="2" s="1"/>
  <c r="E30" i="2"/>
  <c r="F30" i="2"/>
  <c r="X42" i="2"/>
  <c r="Y42" i="2" s="1"/>
  <c r="AE48" i="2"/>
  <c r="G54" i="2"/>
  <c r="G59" i="2"/>
  <c r="G61" i="2"/>
  <c r="F65" i="2"/>
  <c r="F67" i="2"/>
  <c r="V74" i="2"/>
  <c r="G74" i="2" s="1"/>
  <c r="G78" i="2"/>
  <c r="G80" i="2"/>
  <c r="F94" i="2"/>
  <c r="Y94" i="2"/>
  <c r="G94" i="2" s="1"/>
  <c r="P97" i="2"/>
  <c r="P98" i="2"/>
  <c r="V100" i="2"/>
  <c r="P101" i="2"/>
  <c r="V101" i="2"/>
  <c r="AB101" i="2"/>
  <c r="P102" i="2"/>
  <c r="J104" i="2"/>
  <c r="G104" i="2" s="1"/>
  <c r="S134" i="2"/>
  <c r="Y134" i="2"/>
  <c r="AD134" i="2"/>
  <c r="AE134" i="2" s="1"/>
  <c r="AE135" i="2"/>
  <c r="G135" i="2" s="1"/>
  <c r="E145" i="2"/>
  <c r="G154" i="2"/>
  <c r="G192" i="2"/>
  <c r="Q198" i="2"/>
  <c r="W198" i="2"/>
  <c r="Y203" i="2"/>
  <c r="V221" i="2"/>
  <c r="G221" i="2" s="1"/>
  <c r="S223" i="2"/>
  <c r="Y223" i="2"/>
  <c r="AB255" i="2"/>
  <c r="J266" i="2"/>
  <c r="G266" i="2" s="1"/>
  <c r="E267" i="2"/>
  <c r="AE267" i="2"/>
  <c r="J271" i="2"/>
  <c r="G271" i="2" s="1"/>
  <c r="J278" i="2"/>
  <c r="G278" i="2" s="1"/>
  <c r="G283" i="2"/>
  <c r="S294" i="2"/>
  <c r="E295" i="2"/>
  <c r="P295" i="2"/>
  <c r="G295" i="2" s="1"/>
  <c r="F298" i="2"/>
  <c r="F311" i="2"/>
  <c r="V316" i="2"/>
  <c r="AB316" i="2"/>
  <c r="AE320" i="2"/>
  <c r="AE323" i="2"/>
  <c r="H327" i="2"/>
  <c r="M330" i="2"/>
  <c r="X327" i="2"/>
  <c r="AE330" i="2"/>
  <c r="S352" i="2"/>
  <c r="S358" i="2"/>
  <c r="AE358" i="2"/>
  <c r="E102" i="2"/>
  <c r="AE30" i="2"/>
  <c r="F43" i="2"/>
  <c r="G49" i="2"/>
  <c r="AB51" i="2"/>
  <c r="V52" i="2"/>
  <c r="H76" i="2"/>
  <c r="H75" i="2" s="1"/>
  <c r="F81" i="2"/>
  <c r="G99" i="2"/>
  <c r="S100" i="2"/>
  <c r="J102" i="2"/>
  <c r="G102" i="2" s="1"/>
  <c r="G126" i="2"/>
  <c r="G133" i="2"/>
  <c r="V157" i="2"/>
  <c r="G157" i="2" s="1"/>
  <c r="V193" i="2"/>
  <c r="G193" i="2" s="1"/>
  <c r="T294" i="2"/>
  <c r="E294" i="2" s="1"/>
  <c r="V296" i="2"/>
  <c r="N303" i="2"/>
  <c r="N293" i="2" s="1"/>
  <c r="G307" i="2"/>
  <c r="P308" i="2"/>
  <c r="G308" i="2" s="1"/>
  <c r="P315" i="2"/>
  <c r="G338" i="2"/>
  <c r="G18" i="2"/>
  <c r="P31" i="2"/>
  <c r="G31" i="2" s="1"/>
  <c r="G32" i="2"/>
  <c r="G33" i="2"/>
  <c r="G35" i="2"/>
  <c r="G37" i="2"/>
  <c r="G39" i="2"/>
  <c r="G40" i="2"/>
  <c r="P50" i="2"/>
  <c r="F83" i="2"/>
  <c r="F89" i="2"/>
  <c r="E97" i="2"/>
  <c r="AE97" i="2"/>
  <c r="G97" i="2" s="1"/>
  <c r="AE98" i="2"/>
  <c r="M125" i="2"/>
  <c r="Y125" i="2"/>
  <c r="M149" i="2"/>
  <c r="Y149" i="2"/>
  <c r="F150" i="2"/>
  <c r="AB170" i="2"/>
  <c r="P180" i="2"/>
  <c r="G188" i="2"/>
  <c r="Y190" i="2"/>
  <c r="AC179" i="2"/>
  <c r="P205" i="2"/>
  <c r="G205" i="2" s="1"/>
  <c r="G218" i="2"/>
  <c r="G220" i="2"/>
  <c r="G222" i="2"/>
  <c r="J223" i="2"/>
  <c r="G224" i="2"/>
  <c r="E227" i="2"/>
  <c r="M234" i="2"/>
  <c r="AE234" i="2"/>
  <c r="I255" i="2"/>
  <c r="AC255" i="2"/>
  <c r="E271" i="2"/>
  <c r="P278" i="2"/>
  <c r="P282" i="2"/>
  <c r="I293" i="2"/>
  <c r="Q293" i="2"/>
  <c r="S316" i="2"/>
  <c r="P320" i="2"/>
  <c r="V320" i="2"/>
  <c r="AB320" i="2"/>
  <c r="S328" i="2"/>
  <c r="AE328" i="2"/>
  <c r="V330" i="2"/>
  <c r="AB330" i="2"/>
  <c r="J335" i="2"/>
  <c r="P335" i="2"/>
  <c r="R339" i="2"/>
  <c r="F341" i="2"/>
  <c r="AB358" i="2"/>
  <c r="J364" i="2"/>
  <c r="V245" i="2"/>
  <c r="I360" i="2"/>
  <c r="U26" i="2"/>
  <c r="V26" i="2" s="1"/>
  <c r="G44" i="2"/>
  <c r="AC293" i="2"/>
  <c r="W327" i="2"/>
  <c r="AC343" i="2"/>
  <c r="AE343" i="2" s="1"/>
  <c r="AE344" i="2"/>
  <c r="K348" i="2"/>
  <c r="M349" i="2"/>
  <c r="J27" i="2"/>
  <c r="P76" i="2"/>
  <c r="AB76" i="2"/>
  <c r="AB116" i="2"/>
  <c r="S129" i="2"/>
  <c r="O179" i="2"/>
  <c r="K198" i="2"/>
  <c r="J245" i="2"/>
  <c r="G20" i="2"/>
  <c r="G22" i="2"/>
  <c r="J63" i="2"/>
  <c r="G71" i="2"/>
  <c r="G73" i="2"/>
  <c r="AC100" i="2"/>
  <c r="E100" i="2"/>
  <c r="P116" i="2"/>
  <c r="G167" i="2"/>
  <c r="AB349" i="2"/>
  <c r="AA348" i="2"/>
  <c r="AB348" i="2" s="1"/>
  <c r="G197" i="2"/>
  <c r="G215" i="2"/>
  <c r="G217" i="2"/>
  <c r="P234" i="2"/>
  <c r="V234" i="2"/>
  <c r="G238" i="2"/>
  <c r="G240" i="2"/>
  <c r="G243" i="2"/>
  <c r="G257" i="2"/>
  <c r="G259" i="2"/>
  <c r="G272" i="2"/>
  <c r="G276" i="2"/>
  <c r="G280" i="2"/>
  <c r="G281" i="2"/>
  <c r="J294" i="2"/>
  <c r="Y316" i="2"/>
  <c r="AE316" i="2"/>
  <c r="G322" i="2"/>
  <c r="P323" i="2"/>
  <c r="V323" i="2"/>
  <c r="AB323" i="2"/>
  <c r="G325" i="2"/>
  <c r="L327" i="2"/>
  <c r="P330" i="2"/>
  <c r="AB335" i="2"/>
  <c r="G357" i="2"/>
  <c r="E358" i="2"/>
  <c r="N352" i="2"/>
  <c r="F361" i="2"/>
  <c r="V360" i="2"/>
  <c r="J134" i="2"/>
  <c r="G139" i="2"/>
  <c r="AB151" i="2"/>
  <c r="G159" i="2"/>
  <c r="F170" i="2"/>
  <c r="AB186" i="2"/>
  <c r="G14" i="2"/>
  <c r="S27" i="2"/>
  <c r="Y51" i="2"/>
  <c r="G58" i="2"/>
  <c r="G64" i="2"/>
  <c r="G70" i="2"/>
  <c r="G90" i="2"/>
  <c r="S101" i="2"/>
  <c r="Y101" i="2"/>
  <c r="E108" i="2"/>
  <c r="M108" i="2"/>
  <c r="S108" i="2"/>
  <c r="G115" i="2"/>
  <c r="V116" i="2"/>
  <c r="G118" i="2"/>
  <c r="G120" i="2"/>
  <c r="G122" i="2"/>
  <c r="G124" i="2"/>
  <c r="J125" i="2"/>
  <c r="P125" i="2"/>
  <c r="G141" i="2"/>
  <c r="G163" i="2"/>
  <c r="G171" i="2"/>
  <c r="G175" i="2"/>
  <c r="K179" i="2"/>
  <c r="Y184" i="2"/>
  <c r="AE184" i="2"/>
  <c r="P186" i="2"/>
  <c r="G202" i="2"/>
  <c r="G208" i="2"/>
  <c r="G210" i="2"/>
  <c r="G228" i="2"/>
  <c r="G230" i="2"/>
  <c r="S237" i="2"/>
  <c r="AB294" i="2"/>
  <c r="G310" i="2"/>
  <c r="G341" i="2"/>
  <c r="E349" i="2"/>
  <c r="G109" i="2"/>
  <c r="G113" i="2"/>
  <c r="J116" i="2"/>
  <c r="E125" i="2"/>
  <c r="P134" i="2"/>
  <c r="G143" i="2"/>
  <c r="V170" i="2"/>
  <c r="J180" i="2"/>
  <c r="G181" i="2"/>
  <c r="G182" i="2"/>
  <c r="U179" i="2"/>
  <c r="G194" i="2"/>
  <c r="G195" i="2"/>
  <c r="Y11" i="2"/>
  <c r="AB27" i="2"/>
  <c r="S41" i="2"/>
  <c r="S51" i="2"/>
  <c r="AB63" i="2"/>
  <c r="AE76" i="2"/>
  <c r="G84" i="2"/>
  <c r="V93" i="2"/>
  <c r="G96" i="2"/>
  <c r="X100" i="2"/>
  <c r="G173" i="2"/>
  <c r="W179" i="2"/>
  <c r="P184" i="2"/>
  <c r="AB184" i="2"/>
  <c r="AE186" i="2"/>
  <c r="V199" i="2"/>
  <c r="G207" i="2"/>
  <c r="G214" i="2"/>
  <c r="M227" i="2"/>
  <c r="S227" i="2"/>
  <c r="AB227" i="2"/>
  <c r="Y234" i="2"/>
  <c r="M245" i="2"/>
  <c r="Y245" i="2"/>
  <c r="AE245" i="2"/>
  <c r="G300" i="2"/>
  <c r="J303" i="2"/>
  <c r="AB303" i="2"/>
  <c r="G318" i="2"/>
  <c r="M320" i="2"/>
  <c r="P339" i="2"/>
  <c r="V339" i="2"/>
  <c r="Y26" i="2"/>
  <c r="G29" i="2"/>
  <c r="M42" i="2"/>
  <c r="L41" i="2"/>
  <c r="S42" i="2"/>
  <c r="P51" i="2"/>
  <c r="I62" i="2"/>
  <c r="V63" i="2"/>
  <c r="G68" i="2"/>
  <c r="G72" i="2"/>
  <c r="AA75" i="2"/>
  <c r="AB75" i="2" s="1"/>
  <c r="M76" i="2"/>
  <c r="AE100" i="2"/>
  <c r="J108" i="2"/>
  <c r="Y108" i="2"/>
  <c r="AE108" i="2"/>
  <c r="F114" i="2"/>
  <c r="M114" i="2"/>
  <c r="S114" i="2"/>
  <c r="M116" i="2"/>
  <c r="G147" i="2"/>
  <c r="S149" i="2"/>
  <c r="AA179" i="2"/>
  <c r="F180" i="2"/>
  <c r="Y349" i="2"/>
  <c r="X348" i="2"/>
  <c r="Y348" i="2" s="1"/>
  <c r="X41" i="2"/>
  <c r="Y41" i="2" s="1"/>
  <c r="M10" i="2"/>
  <c r="Y27" i="2"/>
  <c r="E11" i="2"/>
  <c r="H10" i="2"/>
  <c r="J10" i="2" s="1"/>
  <c r="G16" i="2"/>
  <c r="G21" i="2"/>
  <c r="G23" i="2"/>
  <c r="M27" i="2"/>
  <c r="G36" i="2"/>
  <c r="AB42" i="2"/>
  <c r="G46" i="2"/>
  <c r="S63" i="2"/>
  <c r="G67" i="2"/>
  <c r="G79" i="2"/>
  <c r="G82" i="2"/>
  <c r="G85" i="2"/>
  <c r="G87" i="2"/>
  <c r="G91" i="2"/>
  <c r="U92" i="2"/>
  <c r="V92" i="2" s="1"/>
  <c r="F93" i="2"/>
  <c r="P93" i="2"/>
  <c r="Y100" i="2"/>
  <c r="E101" i="2"/>
  <c r="G103" i="2"/>
  <c r="P108" i="2"/>
  <c r="V108" i="2"/>
  <c r="E114" i="2"/>
  <c r="J114" i="2"/>
  <c r="G121" i="2"/>
  <c r="V125" i="2"/>
  <c r="G127" i="2"/>
  <c r="G130" i="2"/>
  <c r="G132" i="2"/>
  <c r="V134" i="2"/>
  <c r="AB134" i="2"/>
  <c r="G140" i="2"/>
  <c r="G142" i="2"/>
  <c r="G160" i="2"/>
  <c r="G162" i="2"/>
  <c r="O343" i="2"/>
  <c r="P343" i="2" s="1"/>
  <c r="P344" i="2"/>
  <c r="G12" i="2"/>
  <c r="G13" i="2"/>
  <c r="G15" i="2"/>
  <c r="G17" i="2"/>
  <c r="G19" i="2"/>
  <c r="I26" i="2"/>
  <c r="J26" i="2" s="1"/>
  <c r="G28" i="2"/>
  <c r="G34" i="2"/>
  <c r="G38" i="2"/>
  <c r="AA50" i="2"/>
  <c r="G53" i="2"/>
  <c r="G56" i="2"/>
  <c r="G60" i="2"/>
  <c r="V76" i="2"/>
  <c r="G77" i="2"/>
  <c r="G81" i="2"/>
  <c r="G95" i="2"/>
  <c r="M100" i="2"/>
  <c r="AA100" i="2"/>
  <c r="AB100" i="2" s="1"/>
  <c r="J101" i="2"/>
  <c r="I100" i="2"/>
  <c r="J100" i="2" s="1"/>
  <c r="P100" i="2"/>
  <c r="S151" i="2"/>
  <c r="G158" i="2"/>
  <c r="F184" i="2"/>
  <c r="J184" i="2"/>
  <c r="K327" i="2"/>
  <c r="M327" i="2" s="1"/>
  <c r="E328" i="2"/>
  <c r="G165" i="2"/>
  <c r="G172" i="2"/>
  <c r="G174" i="2"/>
  <c r="G177" i="2"/>
  <c r="M180" i="2"/>
  <c r="S180" i="2"/>
  <c r="P190" i="2"/>
  <c r="AB190" i="2"/>
  <c r="AE237" i="2"/>
  <c r="J323" i="2"/>
  <c r="P358" i="2"/>
  <c r="S11" i="2"/>
  <c r="J42" i="2"/>
  <c r="W9" i="2"/>
  <c r="G45" i="2"/>
  <c r="G47" i="2"/>
  <c r="G52" i="2"/>
  <c r="G55" i="2"/>
  <c r="G57" i="2"/>
  <c r="E63" i="2"/>
  <c r="M63" i="2"/>
  <c r="Y63" i="2"/>
  <c r="AE63" i="2"/>
  <c r="G66" i="2"/>
  <c r="S76" i="2"/>
  <c r="Y76" i="2"/>
  <c r="G86" i="2"/>
  <c r="M101" i="2"/>
  <c r="AB108" i="2"/>
  <c r="G112" i="2"/>
  <c r="P114" i="2"/>
  <c r="Y114" i="2"/>
  <c r="AE114" i="2"/>
  <c r="S116" i="2"/>
  <c r="AE116" i="2"/>
  <c r="G117" i="2"/>
  <c r="S125" i="2"/>
  <c r="M129" i="2"/>
  <c r="V129" i="2"/>
  <c r="AB129" i="2"/>
  <c r="M134" i="2"/>
  <c r="J137" i="2"/>
  <c r="P137" i="2"/>
  <c r="AB137" i="2"/>
  <c r="G144" i="2"/>
  <c r="G146" i="2"/>
  <c r="G148" i="2"/>
  <c r="G150" i="2"/>
  <c r="J151" i="2"/>
  <c r="AE151" i="2"/>
  <c r="G152" i="2"/>
  <c r="G156" i="2"/>
  <c r="G161" i="2"/>
  <c r="G164" i="2"/>
  <c r="G166" i="2"/>
  <c r="G169" i="2"/>
  <c r="E170" i="2"/>
  <c r="M170" i="2"/>
  <c r="S170" i="2"/>
  <c r="G176" i="2"/>
  <c r="G178" i="2"/>
  <c r="I179" i="2"/>
  <c r="E180" i="2"/>
  <c r="Y180" i="2"/>
  <c r="AE180" i="2"/>
  <c r="F199" i="2"/>
  <c r="S199" i="2"/>
  <c r="Y199" i="2"/>
  <c r="G209" i="2"/>
  <c r="G219" i="2"/>
  <c r="G225" i="2"/>
  <c r="P227" i="2"/>
  <c r="G229" i="2"/>
  <c r="G235" i="2"/>
  <c r="G242" i="2"/>
  <c r="G261" i="2"/>
  <c r="G264" i="2"/>
  <c r="S320" i="2"/>
  <c r="Y320" i="2"/>
  <c r="Y330" i="2"/>
  <c r="G332" i="2"/>
  <c r="G334" i="2"/>
  <c r="V361" i="2"/>
  <c r="M364" i="2"/>
  <c r="X363" i="2"/>
  <c r="Y363" i="2" s="1"/>
  <c r="Y364" i="2"/>
  <c r="AB114" i="2"/>
  <c r="G119" i="2"/>
  <c r="G123" i="2"/>
  <c r="Y129" i="2"/>
  <c r="G131" i="2"/>
  <c r="E134" i="2"/>
  <c r="M137" i="2"/>
  <c r="Y137" i="2"/>
  <c r="G138" i="2"/>
  <c r="G153" i="2"/>
  <c r="G155" i="2"/>
  <c r="G168" i="2"/>
  <c r="P170" i="2"/>
  <c r="G185" i="2"/>
  <c r="J186" i="2"/>
  <c r="V186" i="2"/>
  <c r="G187" i="2"/>
  <c r="G189" i="2"/>
  <c r="G196" i="2"/>
  <c r="J199" i="2"/>
  <c r="Z198" i="2"/>
  <c r="G200" i="2"/>
  <c r="G212" i="2"/>
  <c r="J227" i="2"/>
  <c r="E234" i="2"/>
  <c r="G239" i="2"/>
  <c r="G244" i="2"/>
  <c r="AB245" i="2"/>
  <c r="G274" i="2"/>
  <c r="G279" i="2"/>
  <c r="G288" i="2"/>
  <c r="G290" i="2"/>
  <c r="G291" i="2"/>
  <c r="K293" i="2"/>
  <c r="G297" i="2"/>
  <c r="G309" i="2"/>
  <c r="G311" i="2"/>
  <c r="G313" i="2"/>
  <c r="G324" i="2"/>
  <c r="V335" i="2"/>
  <c r="F335" i="2"/>
  <c r="G347" i="2"/>
  <c r="G350" i="2"/>
  <c r="G355" i="2"/>
  <c r="AB180" i="2"/>
  <c r="G183" i="2"/>
  <c r="E184" i="2"/>
  <c r="M184" i="2"/>
  <c r="S184" i="2"/>
  <c r="F186" i="2"/>
  <c r="Y186" i="2"/>
  <c r="Q179" i="2"/>
  <c r="S190" i="2"/>
  <c r="AE190" i="2"/>
  <c r="G191" i="2"/>
  <c r="G201" i="2"/>
  <c r="S203" i="2"/>
  <c r="AE203" i="2"/>
  <c r="G204" i="2"/>
  <c r="G206" i="2"/>
  <c r="G211" i="2"/>
  <c r="G213" i="2"/>
  <c r="G216" i="2"/>
  <c r="V223" i="2"/>
  <c r="Y227" i="2"/>
  <c r="G231" i="2"/>
  <c r="J234" i="2"/>
  <c r="J237" i="2"/>
  <c r="P237" i="2"/>
  <c r="J241" i="2"/>
  <c r="V241" i="2"/>
  <c r="G248" i="2"/>
  <c r="G262" i="2"/>
  <c r="G267" i="2"/>
  <c r="G270" i="2"/>
  <c r="G273" i="2"/>
  <c r="G275" i="2"/>
  <c r="G277" i="2"/>
  <c r="G285" i="2"/>
  <c r="Y294" i="2"/>
  <c r="AE294" i="2"/>
  <c r="G296" i="2"/>
  <c r="G299" i="2"/>
  <c r="G301" i="2"/>
  <c r="R293" i="2"/>
  <c r="S293" i="2" s="1"/>
  <c r="Y303" i="2"/>
  <c r="G306" i="2"/>
  <c r="M323" i="2"/>
  <c r="S323" i="2"/>
  <c r="Y323" i="2"/>
  <c r="Y328" i="2"/>
  <c r="E330" i="2"/>
  <c r="M335" i="2"/>
  <c r="AE352" i="2"/>
  <c r="S353" i="2"/>
  <c r="AE353" i="2"/>
  <c r="G362" i="2"/>
  <c r="M363" i="2"/>
  <c r="U363" i="2"/>
  <c r="V363" i="2" s="1"/>
  <c r="V364" i="2"/>
  <c r="N327" i="2"/>
  <c r="S335" i="2"/>
  <c r="M343" i="2"/>
  <c r="M344" i="2"/>
  <c r="P348" i="2"/>
  <c r="G354" i="2"/>
  <c r="E361" i="2"/>
  <c r="M361" i="2"/>
  <c r="S360" i="2"/>
  <c r="E364" i="2"/>
  <c r="AE227" i="2"/>
  <c r="G233" i="2"/>
  <c r="S234" i="2"/>
  <c r="AB234" i="2"/>
  <c r="V237" i="2"/>
  <c r="AB237" i="2"/>
  <c r="S245" i="2"/>
  <c r="V249" i="2"/>
  <c r="AE249" i="2"/>
  <c r="G250" i="2"/>
  <c r="G252" i="2"/>
  <c r="J236" i="2"/>
  <c r="G256" i="2"/>
  <c r="G284" i="2"/>
  <c r="G286" i="2"/>
  <c r="G289" i="2"/>
  <c r="M294" i="2"/>
  <c r="G298" i="2"/>
  <c r="V303" i="2"/>
  <c r="Z293" i="2"/>
  <c r="AD293" i="2"/>
  <c r="G304" i="2"/>
  <c r="G314" i="2"/>
  <c r="G315" i="2"/>
  <c r="P316" i="2"/>
  <c r="G326" i="2"/>
  <c r="G329" i="2"/>
  <c r="G333" i="2"/>
  <c r="Y335" i="2"/>
  <c r="AE335" i="2"/>
  <c r="G336" i="2"/>
  <c r="M339" i="2"/>
  <c r="Y339" i="2"/>
  <c r="AE339" i="2"/>
  <c r="E344" i="2"/>
  <c r="G351" i="2"/>
  <c r="O352" i="2"/>
  <c r="P352" i="2" s="1"/>
  <c r="G359" i="2"/>
  <c r="Y361" i="2"/>
  <c r="AE361" i="2"/>
  <c r="G366" i="2"/>
  <c r="AB10" i="2"/>
  <c r="G43" i="2"/>
  <c r="G48" i="2"/>
  <c r="G69" i="2"/>
  <c r="P75" i="2"/>
  <c r="V62" i="2"/>
  <c r="P63" i="2"/>
  <c r="O62" i="2"/>
  <c r="P62" i="2" s="1"/>
  <c r="F63" i="2"/>
  <c r="G25" i="2"/>
  <c r="AB50" i="2"/>
  <c r="E93" i="2"/>
  <c r="Y93" i="2"/>
  <c r="J76" i="2"/>
  <c r="F76" i="2"/>
  <c r="I75" i="2"/>
  <c r="F12" i="2"/>
  <c r="F24" i="2"/>
  <c r="AC27" i="2"/>
  <c r="AC26" i="2" s="1"/>
  <c r="P30" i="2"/>
  <c r="G30" i="2" s="1"/>
  <c r="E31" i="2"/>
  <c r="F40" i="2"/>
  <c r="N42" i="2"/>
  <c r="N41" i="2" s="1"/>
  <c r="AD42" i="2"/>
  <c r="R50" i="2"/>
  <c r="S50" i="2" s="1"/>
  <c r="AD50" i="2"/>
  <c r="H62" i="2"/>
  <c r="L62" i="2"/>
  <c r="X62" i="2"/>
  <c r="P65" i="2"/>
  <c r="G65" i="2" s="1"/>
  <c r="R75" i="2"/>
  <c r="S75" i="2" s="1"/>
  <c r="AD75" i="2"/>
  <c r="AE75" i="2" s="1"/>
  <c r="J83" i="2"/>
  <c r="G83" i="2" s="1"/>
  <c r="H92" i="2"/>
  <c r="L92" i="2"/>
  <c r="M92" i="2" s="1"/>
  <c r="X92" i="2"/>
  <c r="Y92" i="2" s="1"/>
  <c r="G226" i="2"/>
  <c r="R10" i="2"/>
  <c r="AD10" i="2"/>
  <c r="O11" i="2"/>
  <c r="R26" i="2"/>
  <c r="S26" i="2" s="1"/>
  <c r="Z26" i="2"/>
  <c r="AB26" i="2" s="1"/>
  <c r="AD26" i="2"/>
  <c r="O27" i="2"/>
  <c r="K41" i="2"/>
  <c r="K9" i="2" s="1"/>
  <c r="O41" i="2"/>
  <c r="AA41" i="2"/>
  <c r="T42" i="2"/>
  <c r="T41" i="2" s="1"/>
  <c r="H50" i="2"/>
  <c r="J50" i="2" s="1"/>
  <c r="L50" i="2"/>
  <c r="M50" i="2" s="1"/>
  <c r="X50" i="2"/>
  <c r="Y50" i="2" s="1"/>
  <c r="E51" i="2"/>
  <c r="M51" i="2"/>
  <c r="U51" i="2"/>
  <c r="F51" i="2" s="1"/>
  <c r="AC51" i="2"/>
  <c r="AC50" i="2" s="1"/>
  <c r="F52" i="2"/>
  <c r="F60" i="2"/>
  <c r="R62" i="2"/>
  <c r="S62" i="2" s="1"/>
  <c r="Z62" i="2"/>
  <c r="AB62" i="2" s="1"/>
  <c r="AD62" i="2"/>
  <c r="AE62" i="2" s="1"/>
  <c r="L75" i="2"/>
  <c r="M75" i="2" s="1"/>
  <c r="T75" i="2"/>
  <c r="V75" i="2" s="1"/>
  <c r="X75" i="2"/>
  <c r="Y75" i="2" s="1"/>
  <c r="E89" i="2"/>
  <c r="M89" i="2"/>
  <c r="G89" i="2" s="1"/>
  <c r="N92" i="2"/>
  <c r="P92" i="2" s="1"/>
  <c r="R92" i="2"/>
  <c r="S92" i="2" s="1"/>
  <c r="Z92" i="2"/>
  <c r="AB92" i="2" s="1"/>
  <c r="AD92" i="2"/>
  <c r="AE92" i="2" s="1"/>
  <c r="E48" i="2"/>
  <c r="G111" i="2"/>
  <c r="W116" i="2"/>
  <c r="F129" i="2"/>
  <c r="F137" i="2"/>
  <c r="P145" i="2"/>
  <c r="G145" i="2" s="1"/>
  <c r="Z149" i="2"/>
  <c r="AD149" i="2"/>
  <c r="F149" i="2" s="1"/>
  <c r="T151" i="2"/>
  <c r="E151" i="2" s="1"/>
  <c r="X151" i="2"/>
  <c r="F151" i="2" s="1"/>
  <c r="F156" i="2"/>
  <c r="H179" i="2"/>
  <c r="L179" i="2"/>
  <c r="X179" i="2"/>
  <c r="Y179" i="2" s="1"/>
  <c r="T190" i="2"/>
  <c r="E190" i="2" s="1"/>
  <c r="R198" i="2"/>
  <c r="AD198" i="2"/>
  <c r="E205" i="2"/>
  <c r="O223" i="2"/>
  <c r="P223" i="2" s="1"/>
  <c r="AA223" i="2"/>
  <c r="F226" i="2"/>
  <c r="U227" i="2"/>
  <c r="M241" i="2"/>
  <c r="Y241" i="2"/>
  <c r="P246" i="2"/>
  <c r="G246" i="2" s="1"/>
  <c r="O245" i="2"/>
  <c r="F246" i="2"/>
  <c r="G247" i="2"/>
  <c r="G253" i="2"/>
  <c r="G282" i="2"/>
  <c r="G305" i="2"/>
  <c r="P251" i="2"/>
  <c r="G251" i="2" s="1"/>
  <c r="N249" i="2"/>
  <c r="P249" i="2" s="1"/>
  <c r="E251" i="2"/>
  <c r="Y255" i="2"/>
  <c r="F102" i="2"/>
  <c r="S105" i="2"/>
  <c r="G105" i="2" s="1"/>
  <c r="F108" i="2"/>
  <c r="F125" i="2"/>
  <c r="T137" i="2"/>
  <c r="E138" i="2"/>
  <c r="E155" i="2"/>
  <c r="F162" i="2"/>
  <c r="N179" i="2"/>
  <c r="R179" i="2"/>
  <c r="Z179" i="2"/>
  <c r="AB179" i="2" s="1"/>
  <c r="AD179" i="2"/>
  <c r="E186" i="2"/>
  <c r="M186" i="2"/>
  <c r="F190" i="2"/>
  <c r="E193" i="2"/>
  <c r="H198" i="2"/>
  <c r="L198" i="2"/>
  <c r="T198" i="2"/>
  <c r="X198" i="2"/>
  <c r="Y198" i="2" s="1"/>
  <c r="E199" i="2"/>
  <c r="M199" i="2"/>
  <c r="M203" i="2"/>
  <c r="U203" i="2"/>
  <c r="F203" i="2" s="1"/>
  <c r="F222" i="2"/>
  <c r="M223" i="2"/>
  <c r="AC223" i="2"/>
  <c r="AC198" i="2" s="1"/>
  <c r="V232" i="2"/>
  <c r="G232" i="2" s="1"/>
  <c r="F234" i="2"/>
  <c r="E245" i="2"/>
  <c r="F249" i="2"/>
  <c r="M249" i="2"/>
  <c r="M255" i="2"/>
  <c r="V255" i="2"/>
  <c r="P258" i="2"/>
  <c r="G258" i="2" s="1"/>
  <c r="F258" i="2"/>
  <c r="O255" i="2"/>
  <c r="F263" i="2"/>
  <c r="AD255" i="2"/>
  <c r="AE263" i="2"/>
  <c r="G263" i="2" s="1"/>
  <c r="F101" i="2"/>
  <c r="F116" i="2"/>
  <c r="E129" i="2"/>
  <c r="N203" i="2"/>
  <c r="E203" i="2" s="1"/>
  <c r="E226" i="2"/>
  <c r="M237" i="2"/>
  <c r="E237" i="2"/>
  <c r="AB241" i="2"/>
  <c r="J249" i="2"/>
  <c r="J255" i="2"/>
  <c r="P260" i="2"/>
  <c r="G260" i="2" s="1"/>
  <c r="F260" i="2"/>
  <c r="G292" i="2"/>
  <c r="F237" i="2"/>
  <c r="F241" i="2"/>
  <c r="N241" i="2"/>
  <c r="P241" i="2" s="1"/>
  <c r="F264" i="2"/>
  <c r="AE265" i="2"/>
  <c r="G265" i="2" s="1"/>
  <c r="AE268" i="2"/>
  <c r="G268" i="2" s="1"/>
  <c r="AE269" i="2"/>
  <c r="G269" i="2" s="1"/>
  <c r="F281" i="2"/>
  <c r="E282" i="2"/>
  <c r="E292" i="2"/>
  <c r="H293" i="2"/>
  <c r="L293" i="2"/>
  <c r="M293" i="2" s="1"/>
  <c r="T293" i="2"/>
  <c r="X293" i="2"/>
  <c r="U294" i="2"/>
  <c r="F295" i="2"/>
  <c r="P302" i="2"/>
  <c r="G302" i="2" s="1"/>
  <c r="O303" i="2"/>
  <c r="S303" i="2"/>
  <c r="AE303" i="2"/>
  <c r="P312" i="2"/>
  <c r="G312" i="2" s="1"/>
  <c r="G319" i="2"/>
  <c r="E320" i="2"/>
  <c r="G321" i="2"/>
  <c r="E323" i="2"/>
  <c r="AD327" i="2"/>
  <c r="J328" i="2"/>
  <c r="F328" i="2"/>
  <c r="I327" i="2"/>
  <c r="AC327" i="2"/>
  <c r="J330" i="2"/>
  <c r="S331" i="2"/>
  <c r="G331" i="2" s="1"/>
  <c r="R330" i="2"/>
  <c r="F330" i="2" s="1"/>
  <c r="J344" i="2"/>
  <c r="F344" i="2"/>
  <c r="I343" i="2"/>
  <c r="P328" i="2"/>
  <c r="O327" i="2"/>
  <c r="S340" i="2"/>
  <c r="G340" i="2" s="1"/>
  <c r="E340" i="2"/>
  <c r="Q339" i="2"/>
  <c r="S339" i="2" s="1"/>
  <c r="AB344" i="2"/>
  <c r="AA343" i="2"/>
  <c r="O294" i="2"/>
  <c r="M303" i="2"/>
  <c r="J316" i="2"/>
  <c r="F316" i="2"/>
  <c r="Z327" i="2"/>
  <c r="V328" i="2"/>
  <c r="U327" i="2"/>
  <c r="V327" i="2" s="1"/>
  <c r="E335" i="2"/>
  <c r="F339" i="2"/>
  <c r="Y344" i="2"/>
  <c r="W343" i="2"/>
  <c r="G346" i="2"/>
  <c r="N255" i="2"/>
  <c r="E255" i="2" s="1"/>
  <c r="E278" i="2"/>
  <c r="E291" i="2"/>
  <c r="W293" i="2"/>
  <c r="AA293" i="2"/>
  <c r="AB293" i="2" s="1"/>
  <c r="E316" i="2"/>
  <c r="G317" i="2"/>
  <c r="J320" i="2"/>
  <c r="F320" i="2"/>
  <c r="F323" i="2"/>
  <c r="M328" i="2"/>
  <c r="AB328" i="2"/>
  <c r="AA327" i="2"/>
  <c r="G337" i="2"/>
  <c r="S343" i="2"/>
  <c r="V344" i="2"/>
  <c r="U343" i="2"/>
  <c r="G345" i="2"/>
  <c r="M348" i="2"/>
  <c r="P349" i="2"/>
  <c r="P353" i="2"/>
  <c r="T352" i="2"/>
  <c r="V352" i="2" s="1"/>
  <c r="Y353" i="2"/>
  <c r="X352" i="2"/>
  <c r="Y352" i="2" s="1"/>
  <c r="M358" i="2"/>
  <c r="V358" i="2"/>
  <c r="AD360" i="2"/>
  <c r="AE360" i="2" s="1"/>
  <c r="S361" i="2"/>
  <c r="Q363" i="2"/>
  <c r="E363" i="2" s="1"/>
  <c r="P364" i="2"/>
  <c r="AE364" i="2"/>
  <c r="AD363" i="2"/>
  <c r="AE363" i="2" s="1"/>
  <c r="K54" i="3"/>
  <c r="E348" i="2"/>
  <c r="V349" i="2"/>
  <c r="U348" i="2"/>
  <c r="V348" i="2" s="1"/>
  <c r="E353" i="2"/>
  <c r="H352" i="2"/>
  <c r="M353" i="2"/>
  <c r="L352" i="2"/>
  <c r="M352" i="2" s="1"/>
  <c r="P361" i="2"/>
  <c r="O360" i="2"/>
  <c r="P360" i="2" s="1"/>
  <c r="S344" i="2"/>
  <c r="J349" i="2"/>
  <c r="F349" i="2"/>
  <c r="I348" i="2"/>
  <c r="AE349" i="2"/>
  <c r="V353" i="2"/>
  <c r="AB353" i="2"/>
  <c r="G356" i="2"/>
  <c r="J358" i="2"/>
  <c r="Y358" i="2"/>
  <c r="S364" i="2"/>
  <c r="R363" i="2"/>
  <c r="AB364" i="2"/>
  <c r="S349" i="2"/>
  <c r="AB352" i="2"/>
  <c r="F353" i="2"/>
  <c r="J353" i="2"/>
  <c r="AB361" i="2"/>
  <c r="AA360" i="2"/>
  <c r="AB360" i="2" s="1"/>
  <c r="F358" i="2"/>
  <c r="H360" i="2"/>
  <c r="E360" i="2" s="1"/>
  <c r="L360" i="2"/>
  <c r="M360" i="2" s="1"/>
  <c r="X360" i="2"/>
  <c r="Y360" i="2" s="1"/>
  <c r="O363" i="2"/>
  <c r="P363" i="2" s="1"/>
  <c r="AA363" i="2"/>
  <c r="AB363" i="2" s="1"/>
  <c r="E303" i="2" l="1"/>
  <c r="AE179" i="2"/>
  <c r="G98" i="2"/>
  <c r="Y327" i="2"/>
  <c r="G108" i="2"/>
  <c r="P327" i="2"/>
  <c r="F134" i="2"/>
  <c r="AE293" i="2"/>
  <c r="G180" i="2"/>
  <c r="G100" i="2"/>
  <c r="E76" i="2"/>
  <c r="G125" i="2"/>
  <c r="G237" i="2"/>
  <c r="E10" i="2"/>
  <c r="G170" i="2"/>
  <c r="G320" i="2"/>
  <c r="P179" i="2"/>
  <c r="G93" i="2"/>
  <c r="F107" i="2"/>
  <c r="S179" i="2"/>
  <c r="M179" i="2"/>
  <c r="AC9" i="2"/>
  <c r="G335" i="2"/>
  <c r="G323" i="2"/>
  <c r="G129" i="2"/>
  <c r="G134" i="2"/>
  <c r="G114" i="2"/>
  <c r="G101" i="2"/>
  <c r="F62" i="2"/>
  <c r="G63" i="2"/>
  <c r="M41" i="2"/>
  <c r="F100" i="2"/>
  <c r="Y116" i="2"/>
  <c r="G116" i="2" s="1"/>
  <c r="G76" i="2"/>
  <c r="E249" i="2"/>
  <c r="G364" i="2"/>
  <c r="G339" i="2"/>
  <c r="I9" i="2"/>
  <c r="G361" i="2"/>
  <c r="AB327" i="2"/>
  <c r="E149" i="2"/>
  <c r="G199" i="2"/>
  <c r="G186" i="2"/>
  <c r="AB149" i="2"/>
  <c r="V137" i="2"/>
  <c r="G137" i="2" s="1"/>
  <c r="N9" i="2"/>
  <c r="AE27" i="2"/>
  <c r="G184" i="2"/>
  <c r="Z9" i="2"/>
  <c r="Q327" i="2"/>
  <c r="E327" i="2" s="1"/>
  <c r="G316" i="2"/>
  <c r="Y293" i="2"/>
  <c r="E137" i="2"/>
  <c r="F223" i="2"/>
  <c r="E75" i="2"/>
  <c r="AE26" i="2"/>
  <c r="E92" i="2"/>
  <c r="AE50" i="2"/>
  <c r="G234" i="2"/>
  <c r="J107" i="2"/>
  <c r="O293" i="2"/>
  <c r="P303" i="2"/>
  <c r="G303" i="2" s="1"/>
  <c r="F348" i="2"/>
  <c r="J348" i="2"/>
  <c r="G348" i="2" s="1"/>
  <c r="E352" i="2"/>
  <c r="Y343" i="2"/>
  <c r="E339" i="2"/>
  <c r="P294" i="2"/>
  <c r="F294" i="2"/>
  <c r="G344" i="2"/>
  <c r="S330" i="2"/>
  <c r="G330" i="2" s="1"/>
  <c r="R327" i="2"/>
  <c r="G328" i="2"/>
  <c r="V294" i="2"/>
  <c r="U293" i="2"/>
  <c r="V293" i="2" s="1"/>
  <c r="E293" i="2"/>
  <c r="E236" i="2"/>
  <c r="J293" i="2"/>
  <c r="F255" i="2"/>
  <c r="M198" i="2"/>
  <c r="L106" i="2"/>
  <c r="J128" i="2"/>
  <c r="F128" i="2"/>
  <c r="E241" i="2"/>
  <c r="AE198" i="2"/>
  <c r="Z106" i="2"/>
  <c r="K106" i="2"/>
  <c r="P203" i="2"/>
  <c r="V41" i="2"/>
  <c r="T9" i="2"/>
  <c r="P27" i="2"/>
  <c r="G27" i="2" s="1"/>
  <c r="O26" i="2"/>
  <c r="F27" i="2"/>
  <c r="V190" i="2"/>
  <c r="G190" i="2" s="1"/>
  <c r="E62" i="2"/>
  <c r="H9" i="2"/>
  <c r="AE42" i="2"/>
  <c r="AD41" i="2"/>
  <c r="AE41" i="2" s="1"/>
  <c r="J92" i="2"/>
  <c r="G92" i="2" s="1"/>
  <c r="V42" i="2"/>
  <c r="E26" i="2"/>
  <c r="E27" i="2"/>
  <c r="F352" i="2"/>
  <c r="S198" i="2"/>
  <c r="Y151" i="2"/>
  <c r="V51" i="2"/>
  <c r="U50" i="2"/>
  <c r="F50" i="2" s="1"/>
  <c r="AB41" i="2"/>
  <c r="AA9" i="2"/>
  <c r="P11" i="2"/>
  <c r="G11" i="2" s="1"/>
  <c r="O10" i="2"/>
  <c r="F11" i="2"/>
  <c r="P42" i="2"/>
  <c r="AE327" i="2"/>
  <c r="V203" i="2"/>
  <c r="U198" i="2"/>
  <c r="V198" i="2" s="1"/>
  <c r="AC106" i="2"/>
  <c r="AB223" i="2"/>
  <c r="AA198" i="2"/>
  <c r="AB198" i="2" s="1"/>
  <c r="N198" i="2"/>
  <c r="G353" i="2"/>
  <c r="S363" i="2"/>
  <c r="G363" i="2" s="1"/>
  <c r="G358" i="2"/>
  <c r="J352" i="2"/>
  <c r="G352" i="2" s="1"/>
  <c r="G349" i="2"/>
  <c r="F363" i="2"/>
  <c r="F360" i="2"/>
  <c r="V343" i="2"/>
  <c r="J360" i="2"/>
  <c r="G360" i="2" s="1"/>
  <c r="AB343" i="2"/>
  <c r="F343" i="2"/>
  <c r="J343" i="2"/>
  <c r="J327" i="2"/>
  <c r="F327" i="2"/>
  <c r="G249" i="2"/>
  <c r="P255" i="2"/>
  <c r="F179" i="2"/>
  <c r="W106" i="2"/>
  <c r="T179" i="2"/>
  <c r="V179" i="2" s="1"/>
  <c r="E50" i="2"/>
  <c r="P41" i="2"/>
  <c r="AE10" i="2"/>
  <c r="J179" i="2"/>
  <c r="E116" i="2"/>
  <c r="AE223" i="2"/>
  <c r="E107" i="2"/>
  <c r="Y62" i="2"/>
  <c r="X9" i="2"/>
  <c r="F42" i="2"/>
  <c r="J62" i="2"/>
  <c r="E42" i="2"/>
  <c r="E198" i="2"/>
  <c r="H106" i="2"/>
  <c r="G241" i="2"/>
  <c r="E343" i="2"/>
  <c r="F303" i="2"/>
  <c r="AE255" i="2"/>
  <c r="G255" i="2" s="1"/>
  <c r="E223" i="2"/>
  <c r="P245" i="2"/>
  <c r="G245" i="2" s="1"/>
  <c r="F245" i="2"/>
  <c r="V227" i="2"/>
  <c r="G227" i="2" s="1"/>
  <c r="F227" i="2"/>
  <c r="AE149" i="2"/>
  <c r="J136" i="2"/>
  <c r="O198" i="2"/>
  <c r="E128" i="2"/>
  <c r="F92" i="2"/>
  <c r="S10" i="2"/>
  <c r="R9" i="2"/>
  <c r="J198" i="2"/>
  <c r="V151" i="2"/>
  <c r="G151" i="2" s="1"/>
  <c r="M62" i="2"/>
  <c r="L9" i="2"/>
  <c r="J75" i="2"/>
  <c r="G75" i="2" s="1"/>
  <c r="F75" i="2"/>
  <c r="AE51" i="2"/>
  <c r="E41" i="2"/>
  <c r="G223" i="2" l="1"/>
  <c r="G107" i="2"/>
  <c r="F41" i="2"/>
  <c r="N106" i="2"/>
  <c r="G42" i="2"/>
  <c r="S327" i="2"/>
  <c r="G327" i="2" s="1"/>
  <c r="J9" i="2"/>
  <c r="E136" i="2"/>
  <c r="Q106" i="2"/>
  <c r="R106" i="2"/>
  <c r="P198" i="2"/>
  <c r="G198" i="2" s="1"/>
  <c r="G41" i="2"/>
  <c r="G343" i="2"/>
  <c r="AA106" i="2"/>
  <c r="AB106" i="2" s="1"/>
  <c r="T106" i="2"/>
  <c r="O106" i="2"/>
  <c r="G149" i="2"/>
  <c r="AD9" i="2"/>
  <c r="AE9" i="2" s="1"/>
  <c r="U106" i="2"/>
  <c r="V106" i="2" s="1"/>
  <c r="M106" i="2"/>
  <c r="AD106" i="2"/>
  <c r="AE106" i="2" s="1"/>
  <c r="F198" i="2"/>
  <c r="G51" i="2"/>
  <c r="AB9" i="2"/>
  <c r="E9" i="2"/>
  <c r="G128" i="2"/>
  <c r="G294" i="2"/>
  <c r="Y9" i="2"/>
  <c r="J342" i="2"/>
  <c r="F342" i="2"/>
  <c r="X106" i="2"/>
  <c r="Y106" i="2" s="1"/>
  <c r="G136" i="2"/>
  <c r="P26" i="2"/>
  <c r="G26" i="2" s="1"/>
  <c r="F26" i="2"/>
  <c r="G203" i="2"/>
  <c r="F236" i="2"/>
  <c r="M9" i="2"/>
  <c r="S9" i="2"/>
  <c r="F136" i="2"/>
  <c r="G62" i="2"/>
  <c r="G179" i="2"/>
  <c r="E179" i="2"/>
  <c r="P10" i="2"/>
  <c r="G10" i="2" s="1"/>
  <c r="O9" i="2"/>
  <c r="F10" i="2"/>
  <c r="V50" i="2"/>
  <c r="G50" i="2" s="1"/>
  <c r="U9" i="2"/>
  <c r="J106" i="2"/>
  <c r="E342" i="2"/>
  <c r="P293" i="2"/>
  <c r="G293" i="2" s="1"/>
  <c r="F293" i="2"/>
  <c r="G236" i="2"/>
  <c r="E8" i="2" l="1"/>
  <c r="S106" i="2"/>
  <c r="P106" i="2"/>
  <c r="E106" i="2"/>
  <c r="F106" i="2"/>
  <c r="J8" i="2"/>
  <c r="P9" i="2"/>
  <c r="F9" i="2"/>
  <c r="G342" i="2"/>
  <c r="V9" i="2"/>
  <c r="G106" i="2" l="1"/>
  <c r="G9" i="2"/>
  <c r="G8" i="2"/>
  <c r="F8" i="2"/>
</calcChain>
</file>

<file path=xl/comments1.xml><?xml version="1.0" encoding="utf-8"?>
<comments xmlns="http://schemas.openxmlformats.org/spreadsheetml/2006/main">
  <authors>
    <author>Krasimira Deneva</author>
  </authors>
  <commentList>
    <comment ref="F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-19 бр.дом за пълн. Лица Пчелище;-3 бр. ЗЖ Пчелище;+82.5 бр Общностен ц-р, Дневен център,ЦГЛУИ Ц. кория, ЦГВХ С. Велики</t>
        </r>
      </text>
    </comment>
    <comment ref="G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+Общностен ц-р, Дневен ц-р, ЦГЛУИ Ц.кория, ЦГВЙНС С.Велики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-19 бр.дом за пълн. Лица Пчелище;-3 бр. ЗЖ Пчелище;+82.5 бр Общностен ц-р, Дневен център,ЦГЛУИ Ц. кория, ЦГВХ С. Велики</t>
        </r>
      </text>
    </comment>
    <comment ref="I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+Общностен ц-р, Дневен ц-р, ЦГЛУИ Ц.кория, ЦГВЙНС С.Велики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-19 бр.дом за пълн. Лица Пчелище;-3 бр. ЗЖ Пчелище;+82.5 бр Общностен ц-р, Дневен център,ЦГЛУИ Ц. кория, ЦГВХ С. Велики , от 01.12.2023 Асистентска подкрепа били 70 бр. стават 150 бр., т.е. +80бр.; нова услуга ЦСРИ Ц кория - 13 бр.</t>
        </r>
      </text>
    </comment>
    <comment ref="K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+Общностен ц-р, Дневен ц-р, ЦГЛУИ Ц.кория, ЦГВЙНС С.Велики; Асистентска подкрепа стар фонд-73839, нов фонд- 170750, т.е. +96911лв.; ЦСРИ Ц кория /нова услуга/-16981 месечен фонд</t>
        </r>
      </text>
    </comment>
    <comment ref="H4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Добавена е една бройка БКС Ресен</t>
        </r>
      </text>
    </comment>
    <comment ref="J4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Добавена е една бройка БКС Ресен</t>
        </r>
      </text>
    </comment>
  </commentList>
</comments>
</file>

<file path=xl/sharedStrings.xml><?xml version="1.0" encoding="utf-8"?>
<sst xmlns="http://schemas.openxmlformats.org/spreadsheetml/2006/main" count="528" uniqueCount="404">
  <si>
    <t>ВСИЧКО РАЗХОДИ:</t>
  </si>
  <si>
    <t>инж. Даниел Панов</t>
  </si>
  <si>
    <t>Кмет на Община Велико Търново</t>
  </si>
  <si>
    <t>Изготвил,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</si>
  <si>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</si>
  <si>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</si>
  <si>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</si>
  <si>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</si>
  <si>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</si>
  <si>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</si>
  <si>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</si>
  <si>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</si>
  <si>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</si>
  <si>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</si>
  <si>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</si>
  <si>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</si>
  <si>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</si>
  <si>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</si>
  <si>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</si>
  <si>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</si>
  <si>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</si>
  <si>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</si>
  <si>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</si>
  <si>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</si>
  <si>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</si>
  <si>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</si>
  <si>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</si>
  <si>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</si>
  <si>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</si>
  <si>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</si>
  <si>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</si>
  <si>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</si>
  <si>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</si>
  <si>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</si>
  <si>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</si>
  <si>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</si>
  <si>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</si>
  <si>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</si>
  <si>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</si>
  <si>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</si>
  <si>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</si>
  <si>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</si>
  <si>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</si>
  <si>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</si>
  <si>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</si>
  <si>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</si>
  <si>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 xml:space="preserve"> 1/3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</si>
  <si>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</si>
  <si>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</si>
  <si>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</si>
  <si>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</si>
  <si>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</si>
  <si>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</si>
  <si>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</si>
  <si>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</si>
  <si>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</si>
  <si>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</si>
  <si>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</si>
  <si>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</si>
  <si>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</si>
  <si>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</si>
  <si>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</si>
  <si>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</si>
  <si>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</si>
  <si>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</si>
  <si>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</si>
  <si>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</si>
  <si>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</si>
  <si>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</si>
  <si>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</si>
  <si>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</si>
  <si>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</si>
  <si>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</si>
  <si>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</si>
  <si>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</si>
  <si>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</si>
  <si>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</si>
  <si>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</si>
  <si>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</si>
  <si>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</si>
  <si>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</si>
  <si>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</si>
  <si>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</si>
  <si>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</si>
  <si>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</si>
  <si>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</si>
  <si>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</si>
  <si>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</si>
  <si>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</si>
  <si>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</si>
  <si>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</si>
  <si>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</si>
  <si>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</si>
  <si>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</si>
  <si>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</si>
  <si>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</si>
  <si>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</si>
  <si>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</si>
  <si>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</si>
  <si>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</si>
  <si>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</si>
  <si>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</si>
  <si>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</si>
  <si>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</si>
  <si>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</si>
  <si>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</si>
  <si>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</si>
  <si>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</si>
  <si>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</si>
  <si>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</si>
  <si>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</si>
  <si>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</si>
  <si>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</si>
  <si>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</si>
  <si>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</si>
  <si>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</si>
  <si>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</si>
  <si>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</si>
  <si>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</si>
  <si>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</si>
  <si>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Лазерно многофункционално устройство по проект "Подкрепа на развитието на регион Велико Търново" по Програма "Развитие на регионите" 2021 - 2027 №BG16RFOP001-8.006-0009-C01 /код 98/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</si>
  <si>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</si>
  <si>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</si>
  <si>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</si>
  <si>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Ресен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</si>
  <si>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</si>
  <si>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</si>
  <si>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</si>
  <si>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</si>
  <si>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</si>
  <si>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</si>
  <si>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</si>
  <si>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</si>
  <si>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</si>
  <si>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</si>
  <si>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</si>
  <si>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Широкоформатен дисплей и стойка ОУ "Димитър Благоев" , гр. Велико Търново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</si>
  <si>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</si>
  <si>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</si>
  <si>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</si>
  <si>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Компютърни конфигурации  и лаптопи ОУ "Бачо Киро", гр. Велико Търново</t>
  </si>
  <si>
    <t>Изградена Wi-Fi мрежа в ДГ "Здравец", гр. Велико Търново</t>
  </si>
  <si>
    <t>Компютри за ЦПЛР ОДК, гр. Велико Търново</t>
  </si>
  <si>
    <t>Компютри за детски градини, Община Велико Търново</t>
  </si>
  <si>
    <t>Компютърна конфигурация за ученически стол при ОУ "Св. Патриарх Евтимий",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</si>
  <si>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</si>
  <si>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</si>
  <si>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</si>
  <si>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</si>
  <si>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 xml:space="preserve">ОУ "Патриарх Евтимий" - спортна площадка с многофункционално предназначение </t>
  </si>
  <si>
    <t>Доставка и монтаж на  детски съоръжения за ДГ "Евгения Кисимова" , гр. В. Търново по ПУДООС</t>
  </si>
  <si>
    <t>ПМГ "Васил Друмев" - шкаф на колела за зареждане на компютри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</si>
  <si>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</si>
  <si>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</si>
  <si>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</si>
  <si>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Електронно табло ПМГ “Васил Друмев“</t>
  </si>
  <si>
    <t>Мобилен телефон СУ “Емилиян Станев“ гр. В. Търново</t>
  </si>
  <si>
    <t>Хибридна система за електроснабдявне на учебна лаборатория в СУ “Владимир Комаров“ гр. В. Търново</t>
  </si>
  <si>
    <t>Система за видеонаблюдение ПМГ "В. Друмев", гр. Велико Търново</t>
  </si>
  <si>
    <t>Оборудване на сграда на ПМГ "В. Друмев" за осигуряване на едносменен режим на обучение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</si>
  <si>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</si>
  <si>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</si>
  <si>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</si>
  <si>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</si>
  <si>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</si>
  <si>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</si>
  <si>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</si>
  <si>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</si>
  <si>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Активна тонколона със стойка СУ “Владимир Комаров“ гр. В.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</si>
  <si>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</si>
  <si>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</si>
  <si>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</si>
  <si>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</si>
  <si>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</si>
  <si>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</si>
  <si>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</si>
  <si>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</si>
  <si>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</si>
  <si>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</si>
  <si>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</si>
  <si>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</si>
  <si>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</si>
  <si>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</si>
  <si>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</si>
  <si>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</si>
  <si>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</si>
  <si>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</si>
  <si>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</si>
  <si>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</si>
  <si>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</si>
  <si>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</si>
  <si>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</si>
  <si>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</si>
  <si>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</si>
  <si>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</si>
  <si>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 на пенсионера и инвалида, ул. "Краков"8А, гр. В. Търново - климатична система</t>
  </si>
  <si>
    <t>Клуб на пенсионера и инвалида, ул. "Света гора", гр. В. Търново - климатични системи</t>
  </si>
  <si>
    <t>Клуб на пенсионера и инвалида, ул. "Възрожденска" 12, гр. В. Търново - доставка и монтаж на газов котел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</si>
  <si>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</si>
  <si>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</si>
  <si>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</si>
  <si>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</si>
  <si>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доставка и монтаж на ограда за детска площадка</t>
  </si>
  <si>
    <t xml:space="preserve">Комплекс от социални услуги за деца "Вълшебство" - количка за деца с увреждания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</si>
  <si>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</si>
  <si>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</si>
  <si>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</si>
  <si>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</si>
  <si>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</si>
  <si>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</si>
  <si>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</si>
  <si>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</si>
  <si>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</si>
  <si>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</si>
  <si>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</si>
  <si>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</si>
  <si>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</si>
  <si>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</si>
  <si>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</si>
  <si>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</si>
  <si>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Грънчарско колело и ролер за платки от глина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</si>
  <si>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</si>
  <si>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</si>
  <si>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Климатик за фургон на площадка за разделно събиране на отпадъци с. Ресен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</si>
  <si>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</si>
  <si>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</si>
  <si>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</si>
  <si>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</si>
  <si>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</si>
  <si>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</si>
  <si>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</si>
  <si>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</si>
  <si>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</si>
  <si>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</si>
  <si>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5206 Инфраструктурни обекти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</si>
  <si>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</si>
  <si>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</si>
  <si>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</si>
  <si>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</si>
  <si>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</si>
  <si>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</si>
  <si>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</si>
  <si>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</si>
  <si>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</si>
  <si>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</si>
  <si>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тротоари ул."В.Априлов", ул."Ал.Бурмов", ул."К.Зидаров", ул.П.Тодоров", кв."Картала", гр. В. Търново</t>
  </si>
  <si>
    <t>Реконструкция ул."Панайот Волов", кв."Картала", гр.Велико Търново</t>
  </si>
  <si>
    <t>ул."Козлодуй" - тротоари,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</si>
  <si>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</si>
  <si>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</si>
  <si>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</si>
  <si>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</si>
  <si>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</si>
  <si>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</si>
  <si>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</si>
  <si>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</si>
  <si>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</si>
  <si>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</si>
  <si>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</si>
  <si>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</si>
  <si>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</si>
  <si>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</si>
  <si>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</si>
  <si>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</si>
  <si>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</si>
  <si>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</si>
  <si>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</si>
  <si>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</si>
  <si>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</si>
  <si>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</si>
  <si>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</si>
  <si>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Дренажна система на бивше депо за ТБО, с. Шереметя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</si>
  <si>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</si>
  <si>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</si>
  <si>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</si>
  <si>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</si>
  <si>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</si>
  <si>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</si>
  <si>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</si>
  <si>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</si>
  <si>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</si>
  <si>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РБ "П. Р. Славейков" - климатични системи</t>
  </si>
  <si>
    <t>Раб.станция за четене и запис на RFID тагове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</si>
  <si>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</si>
  <si>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</si>
  <si>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</si>
  <si>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</si>
  <si>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</si>
  <si>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</si>
  <si>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</si>
  <si>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дирекция КТМД</t>
  </si>
  <si>
    <t>Климатици за нуждите на ДКС "В. Левски"</t>
  </si>
  <si>
    <t>Закупуване на прожекционен екран в Летен театър</t>
  </si>
  <si>
    <t>Указателна табела на хълм Трапезица по случай посещението на Хайдар Алиев от Азърбейджан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</si>
  <si>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</si>
  <si>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</si>
  <si>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Изграждане на футболен терен се естествена настилка и ограда в УПИ ІХ, кв. 28, гр. Велико Търново</t>
  </si>
  <si>
    <t>Скулптурен възпоменателен венец пред паметника на Васил Левски, Дирекция КТМД</t>
  </si>
  <si>
    <t xml:space="preserve"> 1/2</t>
  </si>
  <si>
    <t>Паметна плоча на хълм Трапезица по случай посещението на Хайдар Алиев от Азърбейджан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</si>
  <si>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</si>
  <si>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</si>
  <si>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</si>
  <si>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</si>
  <si>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Климатици за нуждите на Младежки дом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</si>
  <si>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</si>
  <si>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</si>
  <si>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</si>
  <si>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 xml:space="preserve">Изграждане на трафопост за захранване на буферен паркинг "Френхисар" 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</si>
  <si>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</si>
  <si>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</si>
  <si>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</si>
  <si>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</si>
  <si>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</si>
  <si>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</si>
  <si>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Уеб-базирана система за управление на електронни и информационни услуги и анализ на данни</t>
  </si>
  <si>
    <t>Лицензи за образователен стенд за професионално обучение в СУ "Вл. Комаров", гр.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</si>
  <si>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</si>
  <si>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</si>
  <si>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</si>
  <si>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</si>
  <si>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</si>
  <si>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</si>
  <si>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</si>
  <si>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</si>
  <si>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</si>
  <si>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</si>
  <si>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</si>
  <si>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инж. Д. Панов</t>
  </si>
  <si>
    <t>Съгласувал,</t>
  </si>
  <si>
    <t>Георги Камарашев</t>
  </si>
  <si>
    <t>Зам. - кмет "Строителство и устройство на територията "</t>
  </si>
  <si>
    <t>П. Христов</t>
  </si>
  <si>
    <t>Началник отдел ИТО</t>
  </si>
  <si>
    <t>ПРИЛОЖЕНИЕ № 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</si>
  <si>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</si>
  <si>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</si>
  <si>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2023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</si>
  <si>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</si>
  <si>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</si>
  <si>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</si>
  <si>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</si>
  <si>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</si>
  <si>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</si>
  <si>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</si>
  <si>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</si>
  <si>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</si>
  <si>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</si>
  <si>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</si>
  <si>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</si>
  <si>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</si>
  <si>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</si>
  <si>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</si>
  <si>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</si>
  <si>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</si>
  <si>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</si>
  <si>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</si>
  <si>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</si>
  <si>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</si>
  <si>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</si>
  <si>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</si>
  <si>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</si>
  <si>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</si>
  <si>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</si>
  <si>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</si>
  <si>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</si>
  <si>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</si>
  <si>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</si>
  <si>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</si>
  <si>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</si>
  <si>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</si>
  <si>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</si>
  <si>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</si>
  <si>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</si>
  <si>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</si>
  <si>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</si>
  <si>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</si>
  <si>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</si>
  <si>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</si>
  <si>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</si>
  <si>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</si>
  <si>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</si>
  <si>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</si>
  <si>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</si>
  <si>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</si>
  <si>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</si>
  <si>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</si>
  <si>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</si>
  <si>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</si>
  <si>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</si>
  <si>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</si>
  <si>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</si>
  <si>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</si>
  <si>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</si>
  <si>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</si>
  <si>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</si>
  <si>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</si>
  <si>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</si>
  <si>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</si>
  <si>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</si>
  <si>
    <t>Приложение 1</t>
  </si>
  <si>
    <t>инж. Цанко Бояджиев</t>
  </si>
  <si>
    <t>Началник отдел "Техническа инфраструктура"</t>
  </si>
  <si>
    <t>ПЛАН КЪМ 30.11.2023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</si>
</sst>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\ &quot;г.&quot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</cellStyleXfs>
  <cellXfs count="104">
    <xf numFmtId="0" fontId="0" fillId="0" borderId="0" xfId="0"/>
    <xf numFmtId="0" fontId="2" fillId="0" borderId="0" xfId="3" applyFont="1" applyFill="1" applyBorder="1" applyAlignment="1">
      <alignment wrapText="1"/>
    </xf>
    <xf numFmtId="0" fontId="2" fillId="0" borderId="0" xfId="4" applyFont="1" applyFill="1" applyAlignment="1"/>
    <xf numFmtId="0" fontId="2" fillId="0" borderId="0" xfId="4" applyFont="1" applyFill="1" applyAlignment="1">
      <alignment wrapText="1"/>
    </xf>
    <xf numFmtId="0" fontId="2" fillId="0" borderId="0" xfId="4" applyFont="1" applyFill="1"/>
    <xf numFmtId="0" fontId="2" fillId="0" borderId="0" xfId="4" applyFont="1" applyFill="1" applyBorder="1" applyAlignment="1">
      <alignment wrapText="1"/>
    </xf>
    <xf numFmtId="0" fontId="2" fillId="0" borderId="0" xfId="4" applyFont="1" applyFill="1" applyBorder="1" applyAlignment="1"/>
    <xf numFmtId="0" fontId="2" fillId="0" borderId="0" xfId="4" applyFont="1" applyFill="1" applyBorder="1"/>
    <xf numFmtId="0" fontId="6" fillId="0" borderId="0" xfId="4" applyFont="1" applyFill="1" applyBorder="1"/>
    <xf numFmtId="0" fontId="3" fillId="0" borderId="0" xfId="4" applyFont="1" applyFill="1" applyBorder="1" applyAlignment="1">
      <alignment horizontal="centerContinuous"/>
    </xf>
    <xf numFmtId="0" fontId="3" fillId="0" borderId="0" xfId="4" applyFont="1" applyFill="1"/>
    <xf numFmtId="0" fontId="3" fillId="0" borderId="0" xfId="4" applyNumberFormat="1" applyFont="1" applyFill="1" applyBorder="1" applyAlignment="1">
      <alignment horizontal="centerContinuous"/>
    </xf>
    <xf numFmtId="0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 wrapText="1"/>
    </xf>
    <xf numFmtId="3" fontId="3" fillId="0" borderId="3" xfId="4" applyNumberFormat="1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 wrapText="1"/>
    </xf>
    <xf numFmtId="3" fontId="3" fillId="0" borderId="4" xfId="4" applyNumberFormat="1" applyFont="1" applyFill="1" applyBorder="1" applyAlignment="1">
      <alignment horizontal="center" wrapText="1"/>
    </xf>
    <xf numFmtId="3" fontId="3" fillId="0" borderId="4" xfId="3" applyNumberFormat="1" applyFont="1" applyFill="1" applyBorder="1" applyAlignment="1">
      <alignment horizontal="center" wrapText="1"/>
    </xf>
    <xf numFmtId="3" fontId="3" fillId="0" borderId="4" xfId="3" applyNumberFormat="1" applyFont="1" applyFill="1" applyBorder="1"/>
    <xf numFmtId="0" fontId="3" fillId="0" borderId="0" xfId="4" applyFont="1" applyFill="1" applyBorder="1"/>
    <xf numFmtId="0" fontId="3" fillId="0" borderId="3" xfId="3" applyFont="1" applyFill="1" applyBorder="1" applyAlignment="1">
      <alignment wrapText="1"/>
    </xf>
    <xf numFmtId="3" fontId="3" fillId="0" borderId="3" xfId="3" applyNumberFormat="1" applyFont="1" applyFill="1" applyBorder="1"/>
    <xf numFmtId="3" fontId="3" fillId="0" borderId="3" xfId="3" applyNumberFormat="1" applyFont="1" applyFill="1" applyBorder="1" applyAlignment="1"/>
    <xf numFmtId="0" fontId="2" fillId="0" borderId="3" xfId="4" applyFont="1" applyFill="1" applyBorder="1" applyAlignment="1">
      <alignment wrapText="1"/>
    </xf>
    <xf numFmtId="0" fontId="2" fillId="0" borderId="3" xfId="4" applyNumberFormat="1" applyFont="1" applyFill="1" applyBorder="1" applyAlignment="1">
      <alignment horizontal="right" wrapText="1"/>
    </xf>
    <xf numFmtId="3" fontId="2" fillId="0" borderId="3" xfId="3" applyNumberFormat="1" applyFont="1" applyFill="1" applyBorder="1" applyAlignment="1"/>
    <xf numFmtId="0" fontId="3" fillId="0" borderId="3" xfId="4" applyFont="1" applyFill="1" applyBorder="1" applyAlignment="1">
      <alignment wrapText="1"/>
    </xf>
    <xf numFmtId="0" fontId="3" fillId="0" borderId="3" xfId="4" applyNumberFormat="1" applyFont="1" applyFill="1" applyBorder="1" applyAlignment="1">
      <alignment horizontal="right" wrapText="1"/>
    </xf>
    <xf numFmtId="0" fontId="3" fillId="0" borderId="3" xfId="3" applyNumberFormat="1" applyFont="1" applyFill="1" applyBorder="1" applyAlignment="1">
      <alignment horizontal="right" wrapText="1"/>
    </xf>
    <xf numFmtId="0" fontId="2" fillId="0" borderId="3" xfId="3" applyFont="1" applyFill="1" applyBorder="1" applyAlignment="1">
      <alignment wrapText="1"/>
    </xf>
    <xf numFmtId="0" fontId="2" fillId="0" borderId="3" xfId="3" applyNumberFormat="1" applyFont="1" applyFill="1" applyBorder="1" applyAlignment="1">
      <alignment horizontal="right" wrapText="1"/>
    </xf>
    <xf numFmtId="0" fontId="2" fillId="0" borderId="3" xfId="5" applyNumberFormat="1" applyFont="1" applyFill="1" applyBorder="1" applyAlignment="1">
      <alignment horizontal="right" wrapText="1"/>
    </xf>
    <xf numFmtId="3" fontId="2" fillId="0" borderId="3" xfId="3" applyNumberFormat="1" applyFont="1" applyFill="1" applyBorder="1"/>
    <xf numFmtId="0" fontId="2" fillId="0" borderId="3" xfId="5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right" wrapText="1"/>
    </xf>
    <xf numFmtId="0" fontId="2" fillId="0" borderId="3" xfId="3" applyFont="1" applyFill="1" applyBorder="1" applyAlignment="1">
      <alignment horizontal="left" wrapText="1"/>
    </xf>
    <xf numFmtId="0" fontId="2" fillId="0" borderId="3" xfId="2" applyFont="1" applyFill="1" applyBorder="1" applyAlignment="1">
      <alignment horizontal="left" wrapText="1"/>
    </xf>
    <xf numFmtId="16" fontId="2" fillId="0" borderId="3" xfId="2" applyNumberFormat="1" applyFont="1" applyFill="1" applyBorder="1" applyAlignment="1">
      <alignment horizontal="right" wrapText="1"/>
    </xf>
    <xf numFmtId="0" fontId="2" fillId="0" borderId="3" xfId="2" applyFont="1" applyFill="1" applyBorder="1" applyAlignment="1">
      <alignment wrapText="1"/>
    </xf>
    <xf numFmtId="3" fontId="2" fillId="0" borderId="3" xfId="3" applyNumberFormat="1" applyFont="1" applyFill="1" applyBorder="1" applyAlignment="1">
      <alignment horizontal="right"/>
    </xf>
    <xf numFmtId="0" fontId="2" fillId="0" borderId="3" xfId="6" applyFont="1" applyFill="1" applyBorder="1" applyAlignment="1">
      <alignment wrapText="1"/>
    </xf>
    <xf numFmtId="0" fontId="2" fillId="0" borderId="5" xfId="6" applyFont="1" applyFill="1" applyBorder="1" applyAlignment="1">
      <alignment vertical="top" wrapText="1"/>
    </xf>
    <xf numFmtId="16" fontId="2" fillId="0" borderId="3" xfId="3" applyNumberFormat="1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0" fontId="3" fillId="0" borderId="3" xfId="2" applyNumberFormat="1" applyFont="1" applyFill="1" applyBorder="1" applyAlignment="1">
      <alignment horizontal="right" wrapText="1"/>
    </xf>
    <xf numFmtId="0" fontId="3" fillId="0" borderId="0" xfId="6" applyFont="1" applyFill="1"/>
    <xf numFmtId="0" fontId="5" fillId="0" borderId="0" xfId="6" applyFont="1" applyFill="1"/>
    <xf numFmtId="0" fontId="2" fillId="0" borderId="0" xfId="5" applyFont="1" applyFill="1" applyBorder="1" applyAlignment="1">
      <alignment vertical="center" wrapText="1"/>
    </xf>
    <xf numFmtId="0" fontId="2" fillId="0" borderId="0" xfId="7" applyFont="1" applyFill="1" applyAlignment="1"/>
    <xf numFmtId="0" fontId="3" fillId="0" borderId="0" xfId="7" applyFont="1" applyFill="1" applyAlignment="1"/>
    <xf numFmtId="0" fontId="5" fillId="0" borderId="0" xfId="7" applyFont="1" applyFill="1" applyAlignment="1"/>
    <xf numFmtId="0" fontId="3" fillId="0" borderId="0" xfId="7" applyFont="1" applyFill="1" applyBorder="1" applyAlignment="1"/>
    <xf numFmtId="0" fontId="5" fillId="0" borderId="0" xfId="4" applyFont="1" applyFill="1" applyAlignment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12" fillId="0" borderId="0" xfId="2" applyFont="1" applyFill="1" applyAlignment="1">
      <alignment horizontal="right"/>
    </xf>
    <xf numFmtId="0" fontId="12" fillId="0" borderId="0" xfId="2" applyFont="1" applyFill="1" applyAlignment="1">
      <alignment horizontal="center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Alignment="1"/>
    <xf numFmtId="0" fontId="12" fillId="0" borderId="0" xfId="8" applyFont="1" applyFill="1" applyAlignment="1">
      <alignment horizontal="centerContinuous"/>
    </xf>
    <xf numFmtId="0" fontId="13" fillId="0" borderId="0" xfId="8" applyFont="1" applyFill="1"/>
    <xf numFmtId="0" fontId="13" fillId="0" borderId="0" xfId="8" applyFont="1" applyFill="1" applyAlignment="1">
      <alignment horizontal="centerContinuous"/>
    </xf>
    <xf numFmtId="0" fontId="12" fillId="0" borderId="0" xfId="8" applyFont="1" applyFill="1" applyAlignment="1">
      <alignment horizontal="center"/>
    </xf>
    <xf numFmtId="0" fontId="13" fillId="0" borderId="0" xfId="8" applyFont="1" applyFill="1" applyAlignment="1">
      <alignment horizontal="center"/>
    </xf>
    <xf numFmtId="0" fontId="12" fillId="0" borderId="3" xfId="8" applyFont="1" applyFill="1" applyBorder="1" applyAlignment="1">
      <alignment horizontal="center" wrapText="1"/>
    </xf>
    <xf numFmtId="0" fontId="12" fillId="0" borderId="0" xfId="8" applyFont="1" applyFill="1" applyAlignment="1">
      <alignment horizontal="center" wrapText="1"/>
    </xf>
    <xf numFmtId="165" fontId="12" fillId="0" borderId="1" xfId="8" applyNumberFormat="1" applyFont="1" applyFill="1" applyBorder="1" applyAlignment="1">
      <alignment horizontal="center" wrapText="1"/>
    </xf>
    <xf numFmtId="165" fontId="12" fillId="0" borderId="2" xfId="8" applyNumberFormat="1" applyFont="1" applyFill="1" applyBorder="1" applyAlignment="1">
      <alignment horizontal="center" wrapText="1"/>
    </xf>
    <xf numFmtId="0" fontId="12" fillId="0" borderId="3" xfId="8" applyFont="1" applyFill="1" applyBorder="1" applyAlignment="1">
      <alignment horizontal="center"/>
    </xf>
    <xf numFmtId="0" fontId="12" fillId="0" borderId="3" xfId="8" applyFont="1" applyFill="1" applyBorder="1"/>
    <xf numFmtId="3" fontId="12" fillId="0" borderId="3" xfId="8" applyNumberFormat="1" applyFont="1" applyFill="1" applyBorder="1" applyAlignment="1">
      <alignment horizontal="center" wrapText="1"/>
    </xf>
    <xf numFmtId="0" fontId="12" fillId="0" borderId="0" xfId="8" applyFont="1" applyFill="1"/>
    <xf numFmtId="0" fontId="13" fillId="0" borderId="3" xfId="8" applyFont="1" applyFill="1" applyBorder="1" applyAlignment="1">
      <alignment horizontal="center"/>
    </xf>
    <xf numFmtId="0" fontId="13" fillId="0" borderId="3" xfId="8" applyFont="1" applyFill="1" applyBorder="1"/>
    <xf numFmtId="3" fontId="13" fillId="0" borderId="3" xfId="8" applyNumberFormat="1" applyFont="1" applyFill="1" applyBorder="1"/>
    <xf numFmtId="0" fontId="12" fillId="0" borderId="3" xfId="8" applyFont="1" applyFill="1" applyBorder="1" applyAlignment="1">
      <alignment wrapText="1"/>
    </xf>
    <xf numFmtId="3" fontId="12" fillId="0" borderId="3" xfId="8" applyNumberFormat="1" applyFont="1" applyFill="1" applyBorder="1"/>
    <xf numFmtId="0" fontId="13" fillId="0" borderId="3" xfId="8" applyFont="1" applyFill="1" applyBorder="1" applyAlignment="1">
      <alignment wrapText="1"/>
    </xf>
    <xf numFmtId="3" fontId="12" fillId="0" borderId="0" xfId="8" applyNumberFormat="1" applyFont="1" applyFill="1"/>
    <xf numFmtId="3" fontId="13" fillId="0" borderId="0" xfId="8" applyNumberFormat="1" applyFont="1" applyFill="1"/>
    <xf numFmtId="0" fontId="12" fillId="0" borderId="0" xfId="0" applyFont="1" applyFill="1"/>
    <xf numFmtId="0" fontId="11" fillId="0" borderId="0" xfId="0" applyFont="1" applyFill="1"/>
    <xf numFmtId="0" fontId="13" fillId="0" borderId="0" xfId="9" applyFont="1" applyFill="1"/>
    <xf numFmtId="0" fontId="11" fillId="0" borderId="0" xfId="9" applyFont="1" applyFill="1"/>
    <xf numFmtId="0" fontId="11" fillId="0" borderId="0" xfId="9" applyFont="1" applyFill="1" applyAlignment="1">
      <alignment horizontal="left"/>
    </xf>
    <xf numFmtId="0" fontId="13" fillId="0" borderId="0" xfId="9" applyFont="1" applyFill="1" applyAlignment="1"/>
    <xf numFmtId="0" fontId="13" fillId="0" borderId="0" xfId="9" applyFont="1" applyFill="1" applyAlignment="1">
      <alignment horizontal="left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/>
    <xf numFmtId="0" fontId="13" fillId="0" borderId="0" xfId="1" applyFont="1" applyFill="1" applyBorder="1" applyAlignment="1">
      <alignment vertical="center"/>
    </xf>
    <xf numFmtId="0" fontId="13" fillId="0" borderId="0" xfId="2" applyFont="1" applyFill="1" applyAlignment="1"/>
    <xf numFmtId="0" fontId="13" fillId="0" borderId="0" xfId="9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2" fillId="0" borderId="1" xfId="6" applyFont="1" applyFill="1" applyBorder="1" applyAlignment="1">
      <alignment vertical="top" wrapText="1"/>
    </xf>
    <xf numFmtId="0" fontId="3" fillId="0" borderId="0" xfId="4" applyFont="1" applyFill="1" applyAlignment="1">
      <alignment horizontal="right"/>
    </xf>
    <xf numFmtId="0" fontId="12" fillId="0" borderId="0" xfId="2" applyFont="1" applyFill="1" applyAlignment="1">
      <alignment horizontal="right"/>
    </xf>
    <xf numFmtId="165" fontId="12" fillId="0" borderId="1" xfId="8" applyNumberFormat="1" applyFont="1" applyFill="1" applyBorder="1" applyAlignment="1">
      <alignment horizontal="center" wrapText="1"/>
    </xf>
    <xf numFmtId="165" fontId="12" fillId="0" borderId="2" xfId="8" applyNumberFormat="1" applyFont="1" applyFill="1" applyBorder="1" applyAlignment="1">
      <alignment horizontal="center" wrapText="1"/>
    </xf>
  </cellXfs>
  <cellStyles count="10">
    <cellStyle name="Normal_PrilDimi" xfId="8"/>
    <cellStyle name="Normal_sesiaI ot4et 2" xfId="1"/>
    <cellStyle name="Normal_Sheet1" xfId="5"/>
    <cellStyle name="Нормален" xfId="0" builtinId="0"/>
    <cellStyle name="Нормален 2" xfId="2"/>
    <cellStyle name="Нормален 3" xfId="6"/>
    <cellStyle name="Нормален 3 2" xfId="7"/>
    <cellStyle name="Нормален 3 3" xfId="9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82"/>
  <sheetViews>
    <sheetView workbookViewId="0">
      <pane ySplit="7" topLeftCell="A8" activePane="bottomLeft" state="frozen"/>
      <selection activeCell="I146" sqref="I146"/>
      <selection pane="bottomLeft" activeCell="A5" sqref="A5"/>
    </sheetView>
  </sheetViews>
  <sheetFormatPr defaultColWidth="29.28515625" defaultRowHeight="15.75" x14ac:dyDescent="0.25"/>
  <cols>
    <col min="1" max="1" width="51.140625" style="3" customWidth="1"/>
    <col min="2" max="3" width="5.5703125" style="3" customWidth="1"/>
    <col min="4" max="4" width="10.28515625" style="3" customWidth="1"/>
    <col min="5" max="5" width="12.5703125" style="4" customWidth="1"/>
    <col min="6" max="7" width="12.7109375" style="4" customWidth="1"/>
    <col min="8" max="8" width="15.5703125" style="4" customWidth="1"/>
    <col min="9" max="10" width="12.7109375" style="4" customWidth="1"/>
    <col min="11" max="11" width="17.7109375" style="4" customWidth="1"/>
    <col min="12" max="13" width="12.7109375" style="4" customWidth="1"/>
    <col min="14" max="14" width="12" style="4" customWidth="1"/>
    <col min="15" max="16" width="12.7109375" style="4" customWidth="1"/>
    <col min="17" max="17" width="14.7109375" style="4" customWidth="1"/>
    <col min="18" max="19" width="12.7109375" style="4" customWidth="1"/>
    <col min="20" max="20" width="10.85546875" style="4" customWidth="1"/>
    <col min="21" max="22" width="12.7109375" style="4" customWidth="1"/>
    <col min="23" max="23" width="16.28515625" style="4" customWidth="1"/>
    <col min="24" max="31" width="12.7109375" style="4" customWidth="1"/>
    <col min="32" max="168" width="29.28515625" style="4" customWidth="1"/>
    <col min="169" max="169" width="42.42578125" style="4" customWidth="1"/>
    <col min="170" max="172" width="12.42578125" style="4" customWidth="1"/>
    <col min="173" max="175" width="10.85546875" style="4" customWidth="1"/>
    <col min="176" max="178" width="14.5703125" style="4" bestFit="1" customWidth="1"/>
    <col min="179" max="181" width="11" style="4" customWidth="1"/>
    <col min="182" max="184" width="14.5703125" style="4" customWidth="1"/>
    <col min="185" max="187" width="15.28515625" style="4" customWidth="1"/>
    <col min="188" max="188" width="15.5703125" style="4" customWidth="1"/>
    <col min="189" max="189" width="44.5703125" style="4" customWidth="1"/>
    <col min="190" max="190" width="13.85546875" style="4" customWidth="1"/>
    <col min="191" max="191" width="10.85546875" style="4" customWidth="1"/>
    <col min="192" max="192" width="14.5703125" style="4" customWidth="1"/>
    <col min="193" max="193" width="11" style="4" customWidth="1"/>
    <col min="194" max="194" width="10.85546875" style="4" customWidth="1"/>
    <col min="195" max="195" width="14.5703125" style="4" customWidth="1"/>
    <col min="196" max="197" width="15.5703125" style="4" customWidth="1"/>
    <col min="198" max="198" width="17.7109375" style="4" customWidth="1"/>
    <col min="199" max="16384" width="29.28515625" style="4"/>
  </cols>
  <sheetData>
    <row r="1" spans="1:255" x14ac:dyDescent="0.25">
      <c r="A1" s="1"/>
      <c r="B1" s="2"/>
      <c r="AE1" s="100" t="s">
        <v>400</v>
      </c>
    </row>
    <row r="2" spans="1:255" x14ac:dyDescent="0.25">
      <c r="A2" s="5"/>
      <c r="B2" s="6"/>
      <c r="C2" s="5"/>
      <c r="D2" s="5"/>
      <c r="E2" s="7"/>
      <c r="F2" s="8"/>
      <c r="G2" s="8"/>
      <c r="H2" s="7"/>
      <c r="I2" s="8"/>
      <c r="J2" s="8"/>
      <c r="K2" s="7"/>
      <c r="L2" s="8"/>
      <c r="M2" s="8"/>
      <c r="N2" s="7"/>
      <c r="O2" s="8"/>
      <c r="P2" s="8"/>
      <c r="Q2" s="7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D2" s="8"/>
      <c r="AE2" s="8"/>
    </row>
    <row r="3" spans="1:255" x14ac:dyDescent="0.25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</row>
    <row r="4" spans="1:255" x14ac:dyDescent="0.25">
      <c r="A4" s="11" t="s">
        <v>403</v>
      </c>
      <c r="B4" s="11"/>
      <c r="C4" s="11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x14ac:dyDescent="0.25">
      <c r="A5" s="12"/>
      <c r="B5" s="11"/>
      <c r="C5" s="11"/>
      <c r="D5" s="11"/>
      <c r="E5" s="9"/>
      <c r="F5" s="9"/>
      <c r="G5" s="9"/>
      <c r="H5" s="13"/>
      <c r="I5" s="9"/>
      <c r="J5" s="9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94.5" x14ac:dyDescent="0.25">
      <c r="A6" s="15" t="s">
        <v>5</v>
      </c>
      <c r="B6" s="16"/>
      <c r="C6" s="16"/>
      <c r="D6" s="16"/>
      <c r="E6" s="17" t="s">
        <v>6</v>
      </c>
      <c r="F6" s="17" t="s">
        <v>6</v>
      </c>
      <c r="G6" s="17" t="s">
        <v>6</v>
      </c>
      <c r="H6" s="18" t="s">
        <v>7</v>
      </c>
      <c r="I6" s="18" t="s">
        <v>7</v>
      </c>
      <c r="J6" s="18" t="s">
        <v>7</v>
      </c>
      <c r="K6" s="18" t="s">
        <v>8</v>
      </c>
      <c r="L6" s="18" t="s">
        <v>8</v>
      </c>
      <c r="M6" s="18" t="s">
        <v>8</v>
      </c>
      <c r="N6" s="18" t="s">
        <v>9</v>
      </c>
      <c r="O6" s="18" t="s">
        <v>9</v>
      </c>
      <c r="P6" s="18" t="s">
        <v>9</v>
      </c>
      <c r="Q6" s="18" t="s">
        <v>10</v>
      </c>
      <c r="R6" s="18" t="s">
        <v>10</v>
      </c>
      <c r="S6" s="18" t="s">
        <v>10</v>
      </c>
      <c r="T6" s="18" t="s">
        <v>11</v>
      </c>
      <c r="U6" s="18" t="s">
        <v>11</v>
      </c>
      <c r="V6" s="18" t="s">
        <v>11</v>
      </c>
      <c r="W6" s="18" t="s">
        <v>12</v>
      </c>
      <c r="X6" s="18" t="s">
        <v>12</v>
      </c>
      <c r="Y6" s="18" t="s">
        <v>12</v>
      </c>
      <c r="Z6" s="18" t="s">
        <v>13</v>
      </c>
      <c r="AA6" s="18" t="s">
        <v>13</v>
      </c>
      <c r="AB6" s="18" t="s">
        <v>13</v>
      </c>
      <c r="AC6" s="18" t="s">
        <v>14</v>
      </c>
      <c r="AD6" s="18" t="s">
        <v>14</v>
      </c>
      <c r="AE6" s="18" t="s">
        <v>14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x14ac:dyDescent="0.25">
      <c r="A7" s="19"/>
      <c r="B7" s="20"/>
      <c r="C7" s="20"/>
      <c r="D7" s="20"/>
      <c r="E7" s="21" t="s">
        <v>15</v>
      </c>
      <c r="F7" s="22" t="s">
        <v>16</v>
      </c>
      <c r="G7" s="22" t="s">
        <v>17</v>
      </c>
      <c r="H7" s="21" t="s">
        <v>15</v>
      </c>
      <c r="I7" s="22" t="s">
        <v>16</v>
      </c>
      <c r="J7" s="22" t="s">
        <v>17</v>
      </c>
      <c r="K7" s="21" t="s">
        <v>15</v>
      </c>
      <c r="L7" s="22" t="s">
        <v>16</v>
      </c>
      <c r="M7" s="22" t="s">
        <v>17</v>
      </c>
      <c r="N7" s="21" t="s">
        <v>15</v>
      </c>
      <c r="O7" s="22" t="s">
        <v>16</v>
      </c>
      <c r="P7" s="22" t="s">
        <v>17</v>
      </c>
      <c r="Q7" s="21" t="s">
        <v>15</v>
      </c>
      <c r="R7" s="22" t="s">
        <v>16</v>
      </c>
      <c r="S7" s="22" t="s">
        <v>17</v>
      </c>
      <c r="T7" s="21" t="s">
        <v>15</v>
      </c>
      <c r="U7" s="22" t="s">
        <v>16</v>
      </c>
      <c r="V7" s="22" t="s">
        <v>17</v>
      </c>
      <c r="W7" s="21" t="s">
        <v>15</v>
      </c>
      <c r="X7" s="22" t="s">
        <v>16</v>
      </c>
      <c r="Y7" s="22" t="s">
        <v>17</v>
      </c>
      <c r="Z7" s="21" t="s">
        <v>15</v>
      </c>
      <c r="AA7" s="22" t="s">
        <v>16</v>
      </c>
      <c r="AB7" s="22" t="s">
        <v>17</v>
      </c>
      <c r="AC7" s="21" t="s">
        <v>15</v>
      </c>
      <c r="AD7" s="22" t="s">
        <v>16</v>
      </c>
      <c r="AE7" s="22" t="s">
        <v>17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x14ac:dyDescent="0.25">
      <c r="A8" s="23" t="s">
        <v>0</v>
      </c>
      <c r="B8" s="23"/>
      <c r="C8" s="23"/>
      <c r="D8" s="23"/>
      <c r="E8" s="24">
        <f t="shared" ref="E8:G71" si="0">H8+K8+N8+Q8+T8+W8+Z8+AC8</f>
        <v>61799981</v>
      </c>
      <c r="F8" s="24">
        <f t="shared" si="0"/>
        <v>62479446</v>
      </c>
      <c r="G8" s="24">
        <f t="shared" si="0"/>
        <v>679465</v>
      </c>
      <c r="H8" s="24">
        <f>SUM(H9,H106,H342,H363)</f>
        <v>4329200</v>
      </c>
      <c r="I8" s="24">
        <f>SUM(I9,I106,I342,I363)</f>
        <v>4329200</v>
      </c>
      <c r="J8" s="24">
        <f t="shared" ref="J8:J71" si="1">I8-H8</f>
        <v>0</v>
      </c>
      <c r="K8" s="24">
        <f t="shared" ref="K8:L8" si="2">SUM(K9,K106,K342,K363)</f>
        <v>974781</v>
      </c>
      <c r="L8" s="24">
        <f t="shared" si="2"/>
        <v>974781</v>
      </c>
      <c r="M8" s="24">
        <f t="shared" ref="M8" si="3">L8-K8</f>
        <v>0</v>
      </c>
      <c r="N8" s="24">
        <f t="shared" ref="N8:O8" si="4">SUM(N9,N106,N342,N363)</f>
        <v>4948136</v>
      </c>
      <c r="O8" s="24">
        <f t="shared" si="4"/>
        <v>4178938</v>
      </c>
      <c r="P8" s="24">
        <f t="shared" ref="P8" si="5">O8-N8</f>
        <v>-769198</v>
      </c>
      <c r="Q8" s="24">
        <f t="shared" ref="Q8:R8" si="6">SUM(Q9,Q106,Q342,Q363)</f>
        <v>23958608</v>
      </c>
      <c r="R8" s="24">
        <f t="shared" si="6"/>
        <v>23964194</v>
      </c>
      <c r="S8" s="24">
        <f t="shared" ref="S8" si="7">R8-Q8</f>
        <v>5586</v>
      </c>
      <c r="T8" s="24">
        <f t="shared" ref="T8:U8" si="8">SUM(T9,T106,T342,T363)</f>
        <v>1855176</v>
      </c>
      <c r="U8" s="24">
        <f t="shared" si="8"/>
        <v>1875819</v>
      </c>
      <c r="V8" s="24">
        <f t="shared" ref="V8" si="9">U8-T8</f>
        <v>20643</v>
      </c>
      <c r="W8" s="24">
        <f t="shared" ref="W8:X8" si="10">SUM(W9,W106,W342,W363)</f>
        <v>7970392</v>
      </c>
      <c r="X8" s="24">
        <f t="shared" si="10"/>
        <v>7970392</v>
      </c>
      <c r="Y8" s="24">
        <f t="shared" ref="Y8" si="11">X8-W8</f>
        <v>0</v>
      </c>
      <c r="Z8" s="24">
        <f t="shared" ref="Z8:AA8" si="12">SUM(Z9,Z106,Z342,Z363)</f>
        <v>64728</v>
      </c>
      <c r="AA8" s="24">
        <f t="shared" si="12"/>
        <v>98538</v>
      </c>
      <c r="AB8" s="24">
        <f t="shared" ref="AB8" si="13">AA8-Z8</f>
        <v>33810</v>
      </c>
      <c r="AC8" s="24">
        <f t="shared" ref="AC8:AD8" si="14">SUM(AC9,AC106,AC342,AC363)</f>
        <v>17698960</v>
      </c>
      <c r="AD8" s="24">
        <f t="shared" si="14"/>
        <v>19087584</v>
      </c>
      <c r="AE8" s="24">
        <f t="shared" ref="AE8" si="15">AD8-AC8</f>
        <v>1388624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</row>
    <row r="9" spans="1:255" x14ac:dyDescent="0.25">
      <c r="A9" s="26" t="s">
        <v>18</v>
      </c>
      <c r="B9" s="26"/>
      <c r="C9" s="26"/>
      <c r="D9" s="26"/>
      <c r="E9" s="27">
        <f t="shared" si="0"/>
        <v>28399573</v>
      </c>
      <c r="F9" s="27">
        <f t="shared" si="0"/>
        <v>28496275</v>
      </c>
      <c r="G9" s="27">
        <f t="shared" si="0"/>
        <v>96702</v>
      </c>
      <c r="H9" s="27">
        <f>SUM(H10,H26,H41,H62,H92,H100,H50,H75)</f>
        <v>2710037</v>
      </c>
      <c r="I9" s="27">
        <f>SUM(I10,I26,I41,I62,I92,I100,I50,I75)</f>
        <v>2597192</v>
      </c>
      <c r="J9" s="27">
        <f t="shared" si="1"/>
        <v>-112845</v>
      </c>
      <c r="K9" s="27">
        <f>SUM(K10,K26,K41,K62,K92,K100,K50,K75)</f>
        <v>582500</v>
      </c>
      <c r="L9" s="27">
        <f>SUM(L10,L26,L41,L62,L92,L100,L50,L75)</f>
        <v>582500</v>
      </c>
      <c r="M9" s="27">
        <f t="shared" ref="M9:M71" si="16">L9-K9</f>
        <v>0</v>
      </c>
      <c r="N9" s="27">
        <f>SUM(N10,N26,N41,N62,N92,N100,N50,N75)</f>
        <v>2592493</v>
      </c>
      <c r="O9" s="27">
        <f>SUM(O10,O26,O41,O62,O92,O100,O50,O75)</f>
        <v>1875340</v>
      </c>
      <c r="P9" s="27">
        <f t="shared" ref="P9:P71" si="17">O9-N9</f>
        <v>-717153</v>
      </c>
      <c r="Q9" s="27">
        <f>SUM(Q10,Q26,Q41,Q62,Q92,Q100,Q50,Q75)</f>
        <v>14285455</v>
      </c>
      <c r="R9" s="27">
        <f>SUM(R10,R26,R41,R62,R92,R100,R50,R75)</f>
        <v>14284359</v>
      </c>
      <c r="S9" s="27">
        <f t="shared" ref="S9:S71" si="18">R9-Q9</f>
        <v>-1096</v>
      </c>
      <c r="T9" s="27">
        <f>SUM(T10,T26,T41,T62,T92,T100,T50,T75)</f>
        <v>1356852</v>
      </c>
      <c r="U9" s="27">
        <f>SUM(U10,U26,U41,U62,U92,U100,U50,U75)</f>
        <v>1357568</v>
      </c>
      <c r="V9" s="27">
        <f t="shared" ref="V9:V71" si="19">U9-T9</f>
        <v>716</v>
      </c>
      <c r="W9" s="27">
        <f>SUM(W10,W26,W41,W62,W92,W100,W50,W75)</f>
        <v>4436620</v>
      </c>
      <c r="X9" s="27">
        <f>SUM(X10,X26,X41,X62,X92,X100,X50,X75)</f>
        <v>4295854</v>
      </c>
      <c r="Y9" s="27">
        <f t="shared" ref="Y9:Y71" si="20">X9-W9</f>
        <v>-140766</v>
      </c>
      <c r="Z9" s="27">
        <f>SUM(Z10,Z26,Z41,Z62,Z92,Z100,Z50,Z75)</f>
        <v>0</v>
      </c>
      <c r="AA9" s="27">
        <f>SUM(AA10,AA26,AA41,AA62,AA92,AA100,AA50,AA75)</f>
        <v>0</v>
      </c>
      <c r="AB9" s="27">
        <f t="shared" ref="AB9:AB71" si="21">AA9-Z9</f>
        <v>0</v>
      </c>
      <c r="AC9" s="27">
        <f>SUM(AC10,AC26,AC41,AC62,AC92,AC100,AC50,AC75)</f>
        <v>2435616</v>
      </c>
      <c r="AD9" s="27">
        <f>SUM(AD10,AD26,AD41,AD62,AD92,AD100,AD50,AD75)</f>
        <v>3503462</v>
      </c>
      <c r="AE9" s="27">
        <f t="shared" ref="AE9:AE71" si="22">AD9-AC9</f>
        <v>1067846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</row>
    <row r="10" spans="1:255" x14ac:dyDescent="0.25">
      <c r="A10" s="26" t="s">
        <v>19</v>
      </c>
      <c r="B10" s="26"/>
      <c r="C10" s="26"/>
      <c r="D10" s="26"/>
      <c r="E10" s="27">
        <f t="shared" si="0"/>
        <v>476253</v>
      </c>
      <c r="F10" s="27">
        <f t="shared" si="0"/>
        <v>476253</v>
      </c>
      <c r="G10" s="27">
        <f t="shared" si="0"/>
        <v>0</v>
      </c>
      <c r="H10" s="27">
        <f>SUM(H11)</f>
        <v>0</v>
      </c>
      <c r="I10" s="27">
        <f>SUM(I11)</f>
        <v>0</v>
      </c>
      <c r="J10" s="27">
        <f t="shared" si="1"/>
        <v>0</v>
      </c>
      <c r="K10" s="27">
        <f>SUM(K11)</f>
        <v>0</v>
      </c>
      <c r="L10" s="27">
        <f>SUM(L11)</f>
        <v>0</v>
      </c>
      <c r="M10" s="27">
        <f t="shared" si="16"/>
        <v>0</v>
      </c>
      <c r="N10" s="27">
        <f>SUM(N11)</f>
        <v>269893</v>
      </c>
      <c r="O10" s="27">
        <f>SUM(O11)</f>
        <v>269893</v>
      </c>
      <c r="P10" s="27">
        <f t="shared" si="17"/>
        <v>0</v>
      </c>
      <c r="Q10" s="27">
        <f>SUM(Q11)</f>
        <v>0</v>
      </c>
      <c r="R10" s="27">
        <f>SUM(R11)</f>
        <v>0</v>
      </c>
      <c r="S10" s="27">
        <f t="shared" si="18"/>
        <v>0</v>
      </c>
      <c r="T10" s="27">
        <f>SUM(T11)</f>
        <v>0</v>
      </c>
      <c r="U10" s="27">
        <f>SUM(U11)</f>
        <v>0</v>
      </c>
      <c r="V10" s="27">
        <f t="shared" si="19"/>
        <v>0</v>
      </c>
      <c r="W10" s="27">
        <f>SUM(W11)</f>
        <v>0</v>
      </c>
      <c r="X10" s="27">
        <f>SUM(X11)</f>
        <v>0</v>
      </c>
      <c r="Y10" s="27">
        <f t="shared" si="20"/>
        <v>0</v>
      </c>
      <c r="Z10" s="27">
        <f>SUM(Z11)</f>
        <v>0</v>
      </c>
      <c r="AA10" s="27">
        <f>SUM(AA11)</f>
        <v>0</v>
      </c>
      <c r="AB10" s="27">
        <f t="shared" si="21"/>
        <v>0</v>
      </c>
      <c r="AC10" s="27">
        <f>SUM(AC11)</f>
        <v>206360</v>
      </c>
      <c r="AD10" s="27">
        <f>SUM(AD11)</f>
        <v>206360</v>
      </c>
      <c r="AE10" s="27">
        <f t="shared" si="22"/>
        <v>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x14ac:dyDescent="0.25">
      <c r="A11" s="26" t="s">
        <v>20</v>
      </c>
      <c r="B11" s="26"/>
      <c r="C11" s="26"/>
      <c r="D11" s="26"/>
      <c r="E11" s="28">
        <f t="shared" si="0"/>
        <v>476253</v>
      </c>
      <c r="F11" s="28">
        <f t="shared" si="0"/>
        <v>476253</v>
      </c>
      <c r="G11" s="28">
        <f t="shared" si="0"/>
        <v>0</v>
      </c>
      <c r="H11" s="28">
        <f>SUM(H12:H25)</f>
        <v>0</v>
      </c>
      <c r="I11" s="28">
        <f>SUM(I12:I25)</f>
        <v>0</v>
      </c>
      <c r="J11" s="28">
        <f t="shared" si="1"/>
        <v>0</v>
      </c>
      <c r="K11" s="28">
        <f>SUM(K12:K25)</f>
        <v>0</v>
      </c>
      <c r="L11" s="28">
        <f>SUM(L12:L25)</f>
        <v>0</v>
      </c>
      <c r="M11" s="28">
        <f t="shared" si="16"/>
        <v>0</v>
      </c>
      <c r="N11" s="28">
        <f>SUM(N12:N25)</f>
        <v>269893</v>
      </c>
      <c r="O11" s="28">
        <f>SUM(O12:O25)</f>
        <v>269893</v>
      </c>
      <c r="P11" s="28">
        <f t="shared" si="17"/>
        <v>0</v>
      </c>
      <c r="Q11" s="28">
        <f>SUM(Q12:Q25)</f>
        <v>0</v>
      </c>
      <c r="R11" s="28">
        <f>SUM(R12:R25)</f>
        <v>0</v>
      </c>
      <c r="S11" s="28">
        <f t="shared" si="18"/>
        <v>0</v>
      </c>
      <c r="T11" s="28">
        <f>SUM(T12:T25)</f>
        <v>0</v>
      </c>
      <c r="U11" s="28">
        <f>SUM(U12:U25)</f>
        <v>0</v>
      </c>
      <c r="V11" s="28">
        <f t="shared" si="19"/>
        <v>0</v>
      </c>
      <c r="W11" s="28">
        <f>SUM(W12:W25)</f>
        <v>0</v>
      </c>
      <c r="X11" s="28">
        <f>SUM(X12:X25)</f>
        <v>0</v>
      </c>
      <c r="Y11" s="28">
        <f t="shared" si="20"/>
        <v>0</v>
      </c>
      <c r="Z11" s="28">
        <f>SUM(Z12:Z25)</f>
        <v>0</v>
      </c>
      <c r="AA11" s="28">
        <f>SUM(AA12:AA25)</f>
        <v>0</v>
      </c>
      <c r="AB11" s="28">
        <f t="shared" si="21"/>
        <v>0</v>
      </c>
      <c r="AC11" s="28">
        <f>SUM(AC12:AC25)</f>
        <v>206360</v>
      </c>
      <c r="AD11" s="28">
        <f>SUM(AD12:AD25)</f>
        <v>206360</v>
      </c>
      <c r="AE11" s="28">
        <f t="shared" si="22"/>
        <v>0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31.5" x14ac:dyDescent="0.25">
      <c r="A12" s="29" t="s">
        <v>21</v>
      </c>
      <c r="B12" s="30">
        <v>2</v>
      </c>
      <c r="C12" s="30">
        <v>122</v>
      </c>
      <c r="D12" s="30">
        <v>5100</v>
      </c>
      <c r="E12" s="31">
        <f t="shared" si="0"/>
        <v>16128</v>
      </c>
      <c r="F12" s="31">
        <f t="shared" si="0"/>
        <v>16128</v>
      </c>
      <c r="G12" s="31">
        <f t="shared" si="0"/>
        <v>0</v>
      </c>
      <c r="H12" s="31">
        <v>0</v>
      </c>
      <c r="I12" s="31">
        <v>0</v>
      </c>
      <c r="J12" s="31">
        <f t="shared" si="1"/>
        <v>0</v>
      </c>
      <c r="K12" s="31">
        <v>0</v>
      </c>
      <c r="L12" s="31">
        <v>0</v>
      </c>
      <c r="M12" s="31">
        <f t="shared" si="16"/>
        <v>0</v>
      </c>
      <c r="N12" s="31">
        <f>3548+12580</f>
        <v>16128</v>
      </c>
      <c r="O12" s="31">
        <f>3548+12580</f>
        <v>16128</v>
      </c>
      <c r="P12" s="31">
        <f t="shared" si="17"/>
        <v>0</v>
      </c>
      <c r="Q12" s="31">
        <v>0</v>
      </c>
      <c r="R12" s="31">
        <v>0</v>
      </c>
      <c r="S12" s="31">
        <f t="shared" si="18"/>
        <v>0</v>
      </c>
      <c r="T12" s="31">
        <v>0</v>
      </c>
      <c r="U12" s="31">
        <v>0</v>
      </c>
      <c r="V12" s="31">
        <f t="shared" si="19"/>
        <v>0</v>
      </c>
      <c r="W12" s="31">
        <v>0</v>
      </c>
      <c r="X12" s="31">
        <v>0</v>
      </c>
      <c r="Y12" s="31">
        <f t="shared" si="20"/>
        <v>0</v>
      </c>
      <c r="Z12" s="31">
        <v>0</v>
      </c>
      <c r="AA12" s="31">
        <v>0</v>
      </c>
      <c r="AB12" s="31">
        <f t="shared" si="21"/>
        <v>0</v>
      </c>
      <c r="AC12" s="31">
        <v>0</v>
      </c>
      <c r="AD12" s="31">
        <v>0</v>
      </c>
      <c r="AE12" s="31">
        <f t="shared" si="22"/>
        <v>0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ht="31.5" x14ac:dyDescent="0.25">
      <c r="A13" s="29" t="s">
        <v>22</v>
      </c>
      <c r="B13" s="30">
        <v>2</v>
      </c>
      <c r="C13" s="30">
        <v>122</v>
      </c>
      <c r="D13" s="30">
        <v>5100</v>
      </c>
      <c r="E13" s="31">
        <f t="shared" si="0"/>
        <v>10657</v>
      </c>
      <c r="F13" s="31">
        <f t="shared" si="0"/>
        <v>10657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  <c r="K13" s="31">
        <v>0</v>
      </c>
      <c r="L13" s="31">
        <v>0</v>
      </c>
      <c r="M13" s="31">
        <f t="shared" si="16"/>
        <v>0</v>
      </c>
      <c r="N13" s="31">
        <v>10657</v>
      </c>
      <c r="O13" s="31">
        <v>10657</v>
      </c>
      <c r="P13" s="31">
        <f t="shared" si="17"/>
        <v>0</v>
      </c>
      <c r="Q13" s="31">
        <v>0</v>
      </c>
      <c r="R13" s="31">
        <v>0</v>
      </c>
      <c r="S13" s="31">
        <f t="shared" si="18"/>
        <v>0</v>
      </c>
      <c r="T13" s="31">
        <v>0</v>
      </c>
      <c r="U13" s="31">
        <v>0</v>
      </c>
      <c r="V13" s="31">
        <f t="shared" si="19"/>
        <v>0</v>
      </c>
      <c r="W13" s="31">
        <v>0</v>
      </c>
      <c r="X13" s="31">
        <v>0</v>
      </c>
      <c r="Y13" s="31">
        <f t="shared" si="20"/>
        <v>0</v>
      </c>
      <c r="Z13" s="31">
        <v>0</v>
      </c>
      <c r="AA13" s="31">
        <v>0</v>
      </c>
      <c r="AB13" s="31">
        <f t="shared" si="21"/>
        <v>0</v>
      </c>
      <c r="AC13" s="31">
        <v>0</v>
      </c>
      <c r="AD13" s="31">
        <v>0</v>
      </c>
      <c r="AE13" s="31">
        <f t="shared" si="22"/>
        <v>0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ht="31.5" x14ac:dyDescent="0.25">
      <c r="A14" s="29" t="s">
        <v>23</v>
      </c>
      <c r="B14" s="30">
        <v>2</v>
      </c>
      <c r="C14" s="30">
        <v>122</v>
      </c>
      <c r="D14" s="30">
        <v>5100</v>
      </c>
      <c r="E14" s="31">
        <f t="shared" si="0"/>
        <v>4997</v>
      </c>
      <c r="F14" s="31">
        <f t="shared" si="0"/>
        <v>4997</v>
      </c>
      <c r="G14" s="31">
        <f t="shared" si="0"/>
        <v>0</v>
      </c>
      <c r="H14" s="31">
        <v>0</v>
      </c>
      <c r="I14" s="31">
        <v>0</v>
      </c>
      <c r="J14" s="31">
        <f t="shared" si="1"/>
        <v>0</v>
      </c>
      <c r="K14" s="31">
        <v>0</v>
      </c>
      <c r="L14" s="31">
        <v>0</v>
      </c>
      <c r="M14" s="31">
        <f t="shared" si="16"/>
        <v>0</v>
      </c>
      <c r="N14" s="31">
        <v>4997</v>
      </c>
      <c r="O14" s="31">
        <v>4997</v>
      </c>
      <c r="P14" s="31">
        <f t="shared" si="17"/>
        <v>0</v>
      </c>
      <c r="Q14" s="31">
        <v>0</v>
      </c>
      <c r="R14" s="31">
        <v>0</v>
      </c>
      <c r="S14" s="31">
        <f t="shared" si="18"/>
        <v>0</v>
      </c>
      <c r="T14" s="31">
        <v>0</v>
      </c>
      <c r="U14" s="31">
        <v>0</v>
      </c>
      <c r="V14" s="31">
        <f t="shared" si="19"/>
        <v>0</v>
      </c>
      <c r="W14" s="31">
        <v>0</v>
      </c>
      <c r="X14" s="31">
        <v>0</v>
      </c>
      <c r="Y14" s="31">
        <f t="shared" si="20"/>
        <v>0</v>
      </c>
      <c r="Z14" s="31">
        <v>0</v>
      </c>
      <c r="AA14" s="31">
        <v>0</v>
      </c>
      <c r="AB14" s="31">
        <f t="shared" si="21"/>
        <v>0</v>
      </c>
      <c r="AC14" s="31">
        <v>0</v>
      </c>
      <c r="AD14" s="31">
        <v>0</v>
      </c>
      <c r="AE14" s="31">
        <f t="shared" si="22"/>
        <v>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ht="31.5" x14ac:dyDescent="0.25">
      <c r="A15" s="29" t="s">
        <v>24</v>
      </c>
      <c r="B15" s="30">
        <v>2</v>
      </c>
      <c r="C15" s="30">
        <v>122</v>
      </c>
      <c r="D15" s="30">
        <v>5100</v>
      </c>
      <c r="E15" s="31">
        <f t="shared" si="0"/>
        <v>2000</v>
      </c>
      <c r="F15" s="31">
        <f t="shared" si="0"/>
        <v>2000</v>
      </c>
      <c r="G15" s="31">
        <f t="shared" si="0"/>
        <v>0</v>
      </c>
      <c r="H15" s="31">
        <v>0</v>
      </c>
      <c r="I15" s="31">
        <v>0</v>
      </c>
      <c r="J15" s="31">
        <f t="shared" si="1"/>
        <v>0</v>
      </c>
      <c r="K15" s="31">
        <v>0</v>
      </c>
      <c r="L15" s="31">
        <v>0</v>
      </c>
      <c r="M15" s="31">
        <f t="shared" si="16"/>
        <v>0</v>
      </c>
      <c r="N15" s="31">
        <v>2000</v>
      </c>
      <c r="O15" s="31">
        <v>2000</v>
      </c>
      <c r="P15" s="31">
        <f t="shared" si="17"/>
        <v>0</v>
      </c>
      <c r="Q15" s="31">
        <v>0</v>
      </c>
      <c r="R15" s="31">
        <v>0</v>
      </c>
      <c r="S15" s="31">
        <f t="shared" si="18"/>
        <v>0</v>
      </c>
      <c r="T15" s="31">
        <v>0</v>
      </c>
      <c r="U15" s="31">
        <v>0</v>
      </c>
      <c r="V15" s="31">
        <f t="shared" si="19"/>
        <v>0</v>
      </c>
      <c r="W15" s="31">
        <v>0</v>
      </c>
      <c r="X15" s="31">
        <v>0</v>
      </c>
      <c r="Y15" s="31">
        <f t="shared" si="20"/>
        <v>0</v>
      </c>
      <c r="Z15" s="31">
        <v>0</v>
      </c>
      <c r="AA15" s="31">
        <v>0</v>
      </c>
      <c r="AB15" s="31">
        <f t="shared" si="21"/>
        <v>0</v>
      </c>
      <c r="AC15" s="31">
        <v>0</v>
      </c>
      <c r="AD15" s="31">
        <v>0</v>
      </c>
      <c r="AE15" s="31">
        <f t="shared" si="22"/>
        <v>0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ht="31.5" x14ac:dyDescent="0.25">
      <c r="A16" s="29" t="s">
        <v>25</v>
      </c>
      <c r="B16" s="30">
        <v>2</v>
      </c>
      <c r="C16" s="30">
        <v>122</v>
      </c>
      <c r="D16" s="30">
        <v>5100</v>
      </c>
      <c r="E16" s="31">
        <f t="shared" si="0"/>
        <v>5251</v>
      </c>
      <c r="F16" s="31">
        <f t="shared" si="0"/>
        <v>5251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  <c r="K16" s="31">
        <v>0</v>
      </c>
      <c r="L16" s="31">
        <v>0</v>
      </c>
      <c r="M16" s="31">
        <f t="shared" si="16"/>
        <v>0</v>
      </c>
      <c r="N16" s="31">
        <v>5251</v>
      </c>
      <c r="O16" s="31">
        <v>5251</v>
      </c>
      <c r="P16" s="31">
        <f t="shared" si="17"/>
        <v>0</v>
      </c>
      <c r="Q16" s="31">
        <v>0</v>
      </c>
      <c r="R16" s="31">
        <v>0</v>
      </c>
      <c r="S16" s="31">
        <f t="shared" si="18"/>
        <v>0</v>
      </c>
      <c r="T16" s="31">
        <v>0</v>
      </c>
      <c r="U16" s="31">
        <v>0</v>
      </c>
      <c r="V16" s="31">
        <f t="shared" si="19"/>
        <v>0</v>
      </c>
      <c r="W16" s="31">
        <v>0</v>
      </c>
      <c r="X16" s="31">
        <v>0</v>
      </c>
      <c r="Y16" s="31">
        <f t="shared" si="20"/>
        <v>0</v>
      </c>
      <c r="Z16" s="31">
        <v>0</v>
      </c>
      <c r="AA16" s="31">
        <v>0</v>
      </c>
      <c r="AB16" s="31">
        <f t="shared" si="21"/>
        <v>0</v>
      </c>
      <c r="AC16" s="31">
        <v>0</v>
      </c>
      <c r="AD16" s="31">
        <v>0</v>
      </c>
      <c r="AE16" s="31">
        <f t="shared" si="22"/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ht="31.5" x14ac:dyDescent="0.25">
      <c r="A17" s="29" t="s">
        <v>26</v>
      </c>
      <c r="B17" s="30">
        <v>2</v>
      </c>
      <c r="C17" s="30">
        <v>122</v>
      </c>
      <c r="D17" s="30">
        <v>5100</v>
      </c>
      <c r="E17" s="31">
        <f t="shared" si="0"/>
        <v>2982</v>
      </c>
      <c r="F17" s="31">
        <f t="shared" si="0"/>
        <v>2982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  <c r="K17" s="31">
        <v>0</v>
      </c>
      <c r="L17" s="31">
        <v>0</v>
      </c>
      <c r="M17" s="31">
        <f t="shared" si="16"/>
        <v>0</v>
      </c>
      <c r="N17" s="31">
        <v>2982</v>
      </c>
      <c r="O17" s="31">
        <v>2982</v>
      </c>
      <c r="P17" s="31">
        <f t="shared" si="17"/>
        <v>0</v>
      </c>
      <c r="Q17" s="31">
        <v>0</v>
      </c>
      <c r="R17" s="31">
        <v>0</v>
      </c>
      <c r="S17" s="31">
        <f t="shared" si="18"/>
        <v>0</v>
      </c>
      <c r="T17" s="31">
        <v>0</v>
      </c>
      <c r="U17" s="31">
        <v>0</v>
      </c>
      <c r="V17" s="31">
        <f t="shared" si="19"/>
        <v>0</v>
      </c>
      <c r="W17" s="31">
        <v>0</v>
      </c>
      <c r="X17" s="31">
        <v>0</v>
      </c>
      <c r="Y17" s="31">
        <f t="shared" si="20"/>
        <v>0</v>
      </c>
      <c r="Z17" s="31">
        <v>0</v>
      </c>
      <c r="AA17" s="31">
        <v>0</v>
      </c>
      <c r="AB17" s="31">
        <f t="shared" si="21"/>
        <v>0</v>
      </c>
      <c r="AC17" s="31">
        <v>0</v>
      </c>
      <c r="AD17" s="31">
        <v>0</v>
      </c>
      <c r="AE17" s="31">
        <f t="shared" si="22"/>
        <v>0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ht="31.5" x14ac:dyDescent="0.25">
      <c r="A18" s="29" t="s">
        <v>27</v>
      </c>
      <c r="B18" s="30">
        <v>2</v>
      </c>
      <c r="C18" s="30">
        <v>122</v>
      </c>
      <c r="D18" s="30">
        <v>5100</v>
      </c>
      <c r="E18" s="31">
        <f t="shared" si="0"/>
        <v>12549</v>
      </c>
      <c r="F18" s="31">
        <f t="shared" si="0"/>
        <v>12549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  <c r="K18" s="31">
        <v>0</v>
      </c>
      <c r="L18" s="31">
        <v>0</v>
      </c>
      <c r="M18" s="31">
        <f t="shared" si="16"/>
        <v>0</v>
      </c>
      <c r="N18" s="31">
        <v>12549</v>
      </c>
      <c r="O18" s="31">
        <v>12549</v>
      </c>
      <c r="P18" s="31">
        <f t="shared" si="17"/>
        <v>0</v>
      </c>
      <c r="Q18" s="31">
        <v>0</v>
      </c>
      <c r="R18" s="31">
        <v>0</v>
      </c>
      <c r="S18" s="31">
        <f t="shared" si="18"/>
        <v>0</v>
      </c>
      <c r="T18" s="31">
        <v>0</v>
      </c>
      <c r="U18" s="31">
        <v>0</v>
      </c>
      <c r="V18" s="31">
        <f t="shared" si="19"/>
        <v>0</v>
      </c>
      <c r="W18" s="31">
        <v>0</v>
      </c>
      <c r="X18" s="31">
        <v>0</v>
      </c>
      <c r="Y18" s="31">
        <f t="shared" si="20"/>
        <v>0</v>
      </c>
      <c r="Z18" s="31">
        <v>0</v>
      </c>
      <c r="AA18" s="31">
        <v>0</v>
      </c>
      <c r="AB18" s="31">
        <f t="shared" si="21"/>
        <v>0</v>
      </c>
      <c r="AC18" s="31">
        <v>0</v>
      </c>
      <c r="AD18" s="31">
        <v>0</v>
      </c>
      <c r="AE18" s="31">
        <f t="shared" si="22"/>
        <v>0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ht="31.5" x14ac:dyDescent="0.25">
      <c r="A19" s="29" t="s">
        <v>28</v>
      </c>
      <c r="B19" s="30">
        <v>2</v>
      </c>
      <c r="C19" s="30">
        <v>122</v>
      </c>
      <c r="D19" s="30">
        <v>5100</v>
      </c>
      <c r="E19" s="31">
        <f t="shared" si="0"/>
        <v>23729</v>
      </c>
      <c r="F19" s="31">
        <f t="shared" si="0"/>
        <v>23729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  <c r="K19" s="31">
        <v>0</v>
      </c>
      <c r="L19" s="31">
        <v>0</v>
      </c>
      <c r="M19" s="31">
        <f t="shared" si="16"/>
        <v>0</v>
      </c>
      <c r="N19" s="31">
        <f>11791+11938</f>
        <v>23729</v>
      </c>
      <c r="O19" s="31">
        <f>11791+11938</f>
        <v>23729</v>
      </c>
      <c r="P19" s="31">
        <f t="shared" si="17"/>
        <v>0</v>
      </c>
      <c r="Q19" s="31">
        <v>0</v>
      </c>
      <c r="R19" s="31">
        <v>0</v>
      </c>
      <c r="S19" s="31">
        <f t="shared" si="18"/>
        <v>0</v>
      </c>
      <c r="T19" s="31">
        <v>0</v>
      </c>
      <c r="U19" s="31">
        <v>0</v>
      </c>
      <c r="V19" s="31">
        <f t="shared" si="19"/>
        <v>0</v>
      </c>
      <c r="W19" s="31">
        <v>0</v>
      </c>
      <c r="X19" s="31">
        <v>0</v>
      </c>
      <c r="Y19" s="31">
        <f t="shared" si="20"/>
        <v>0</v>
      </c>
      <c r="Z19" s="31">
        <v>0</v>
      </c>
      <c r="AA19" s="31">
        <v>0</v>
      </c>
      <c r="AB19" s="31">
        <f t="shared" si="21"/>
        <v>0</v>
      </c>
      <c r="AC19" s="31">
        <v>0</v>
      </c>
      <c r="AD19" s="31">
        <v>0</v>
      </c>
      <c r="AE19" s="31">
        <f t="shared" si="22"/>
        <v>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ht="31.5" x14ac:dyDescent="0.25">
      <c r="A20" s="29" t="s">
        <v>29</v>
      </c>
      <c r="B20" s="30">
        <v>2</v>
      </c>
      <c r="C20" s="30">
        <v>122</v>
      </c>
      <c r="D20" s="30">
        <v>5100</v>
      </c>
      <c r="E20" s="31">
        <f t="shared" si="0"/>
        <v>9971</v>
      </c>
      <c r="F20" s="31">
        <f t="shared" si="0"/>
        <v>9971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  <c r="K20" s="31">
        <v>0</v>
      </c>
      <c r="L20" s="31">
        <v>0</v>
      </c>
      <c r="M20" s="31">
        <f t="shared" si="16"/>
        <v>0</v>
      </c>
      <c r="N20" s="31">
        <v>9971</v>
      </c>
      <c r="O20" s="31">
        <v>9971</v>
      </c>
      <c r="P20" s="31">
        <f t="shared" si="17"/>
        <v>0</v>
      </c>
      <c r="Q20" s="31">
        <v>0</v>
      </c>
      <c r="R20" s="31">
        <v>0</v>
      </c>
      <c r="S20" s="31">
        <f t="shared" si="18"/>
        <v>0</v>
      </c>
      <c r="T20" s="31">
        <v>0</v>
      </c>
      <c r="U20" s="31">
        <v>0</v>
      </c>
      <c r="V20" s="31">
        <f t="shared" si="19"/>
        <v>0</v>
      </c>
      <c r="W20" s="31">
        <v>0</v>
      </c>
      <c r="X20" s="31">
        <v>0</v>
      </c>
      <c r="Y20" s="31">
        <f t="shared" si="20"/>
        <v>0</v>
      </c>
      <c r="Z20" s="31">
        <v>0</v>
      </c>
      <c r="AA20" s="31">
        <v>0</v>
      </c>
      <c r="AB20" s="31">
        <f t="shared" si="21"/>
        <v>0</v>
      </c>
      <c r="AC20" s="31">
        <v>0</v>
      </c>
      <c r="AD20" s="31">
        <v>0</v>
      </c>
      <c r="AE20" s="31">
        <f t="shared" si="22"/>
        <v>0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ht="31.5" x14ac:dyDescent="0.25">
      <c r="A21" s="29" t="s">
        <v>30</v>
      </c>
      <c r="B21" s="30">
        <v>2</v>
      </c>
      <c r="C21" s="30">
        <v>122</v>
      </c>
      <c r="D21" s="30">
        <v>5100</v>
      </c>
      <c r="E21" s="31">
        <f t="shared" si="0"/>
        <v>7995</v>
      </c>
      <c r="F21" s="31">
        <f t="shared" si="0"/>
        <v>7995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  <c r="K21" s="31">
        <v>0</v>
      </c>
      <c r="L21" s="31">
        <v>0</v>
      </c>
      <c r="M21" s="31">
        <f t="shared" si="16"/>
        <v>0</v>
      </c>
      <c r="N21" s="31">
        <v>7995</v>
      </c>
      <c r="O21" s="31">
        <v>7995</v>
      </c>
      <c r="P21" s="31">
        <f t="shared" si="17"/>
        <v>0</v>
      </c>
      <c r="Q21" s="31">
        <v>0</v>
      </c>
      <c r="R21" s="31">
        <v>0</v>
      </c>
      <c r="S21" s="31">
        <f t="shared" si="18"/>
        <v>0</v>
      </c>
      <c r="T21" s="31">
        <v>0</v>
      </c>
      <c r="U21" s="31">
        <v>0</v>
      </c>
      <c r="V21" s="31">
        <f t="shared" si="19"/>
        <v>0</v>
      </c>
      <c r="W21" s="31">
        <v>0</v>
      </c>
      <c r="X21" s="31">
        <v>0</v>
      </c>
      <c r="Y21" s="31">
        <f t="shared" si="20"/>
        <v>0</v>
      </c>
      <c r="Z21" s="31">
        <v>0</v>
      </c>
      <c r="AA21" s="31">
        <v>0</v>
      </c>
      <c r="AB21" s="31">
        <f t="shared" si="21"/>
        <v>0</v>
      </c>
      <c r="AC21" s="31">
        <v>0</v>
      </c>
      <c r="AD21" s="31">
        <v>0</v>
      </c>
      <c r="AE21" s="31">
        <f t="shared" si="22"/>
        <v>0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ht="31.5" x14ac:dyDescent="0.25">
      <c r="A22" s="29" t="s">
        <v>31</v>
      </c>
      <c r="B22" s="30">
        <v>2</v>
      </c>
      <c r="C22" s="30">
        <v>122</v>
      </c>
      <c r="D22" s="30">
        <v>5100</v>
      </c>
      <c r="E22" s="31">
        <f t="shared" si="0"/>
        <v>8589</v>
      </c>
      <c r="F22" s="31">
        <f t="shared" si="0"/>
        <v>8589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  <c r="K22" s="31">
        <v>0</v>
      </c>
      <c r="L22" s="31">
        <v>0</v>
      </c>
      <c r="M22" s="31">
        <f t="shared" si="16"/>
        <v>0</v>
      </c>
      <c r="N22" s="31">
        <v>8589</v>
      </c>
      <c r="O22" s="31">
        <v>8589</v>
      </c>
      <c r="P22" s="31">
        <f t="shared" si="17"/>
        <v>0</v>
      </c>
      <c r="Q22" s="31">
        <v>0</v>
      </c>
      <c r="R22" s="31">
        <v>0</v>
      </c>
      <c r="S22" s="31">
        <f t="shared" si="18"/>
        <v>0</v>
      </c>
      <c r="T22" s="31">
        <v>0</v>
      </c>
      <c r="U22" s="31">
        <v>0</v>
      </c>
      <c r="V22" s="31">
        <f t="shared" si="19"/>
        <v>0</v>
      </c>
      <c r="W22" s="31">
        <v>0</v>
      </c>
      <c r="X22" s="31">
        <v>0</v>
      </c>
      <c r="Y22" s="31">
        <f t="shared" si="20"/>
        <v>0</v>
      </c>
      <c r="Z22" s="31">
        <v>0</v>
      </c>
      <c r="AA22" s="31">
        <v>0</v>
      </c>
      <c r="AB22" s="31">
        <f t="shared" si="21"/>
        <v>0</v>
      </c>
      <c r="AC22" s="31">
        <v>0</v>
      </c>
      <c r="AD22" s="31">
        <v>0</v>
      </c>
      <c r="AE22" s="31">
        <f t="shared" si="22"/>
        <v>0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ht="31.5" x14ac:dyDescent="0.25">
      <c r="A23" s="29" t="s">
        <v>32</v>
      </c>
      <c r="B23" s="30">
        <v>2</v>
      </c>
      <c r="C23" s="30">
        <v>122</v>
      </c>
      <c r="D23" s="30">
        <v>5100</v>
      </c>
      <c r="E23" s="31">
        <f t="shared" si="0"/>
        <v>7208</v>
      </c>
      <c r="F23" s="31">
        <f t="shared" si="0"/>
        <v>7208</v>
      </c>
      <c r="G23" s="31">
        <f t="shared" si="0"/>
        <v>0</v>
      </c>
      <c r="H23" s="31">
        <v>0</v>
      </c>
      <c r="I23" s="31">
        <v>0</v>
      </c>
      <c r="J23" s="31">
        <f t="shared" si="1"/>
        <v>0</v>
      </c>
      <c r="K23" s="31">
        <v>0</v>
      </c>
      <c r="L23" s="31">
        <v>0</v>
      </c>
      <c r="M23" s="31">
        <f t="shared" si="16"/>
        <v>0</v>
      </c>
      <c r="N23" s="31">
        <v>7208</v>
      </c>
      <c r="O23" s="31">
        <v>7208</v>
      </c>
      <c r="P23" s="31">
        <f t="shared" si="17"/>
        <v>0</v>
      </c>
      <c r="Q23" s="31">
        <v>0</v>
      </c>
      <c r="R23" s="31">
        <v>0</v>
      </c>
      <c r="S23" s="31">
        <f t="shared" si="18"/>
        <v>0</v>
      </c>
      <c r="T23" s="31">
        <v>0</v>
      </c>
      <c r="U23" s="31">
        <v>0</v>
      </c>
      <c r="V23" s="31">
        <f t="shared" si="19"/>
        <v>0</v>
      </c>
      <c r="W23" s="31">
        <v>0</v>
      </c>
      <c r="X23" s="31">
        <v>0</v>
      </c>
      <c r="Y23" s="31">
        <f t="shared" si="20"/>
        <v>0</v>
      </c>
      <c r="Z23" s="31">
        <v>0</v>
      </c>
      <c r="AA23" s="31">
        <v>0</v>
      </c>
      <c r="AB23" s="31">
        <f t="shared" si="21"/>
        <v>0</v>
      </c>
      <c r="AC23" s="31">
        <v>0</v>
      </c>
      <c r="AD23" s="31">
        <v>0</v>
      </c>
      <c r="AE23" s="31">
        <f t="shared" si="22"/>
        <v>0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ht="63" x14ac:dyDescent="0.25">
      <c r="A24" s="29" t="s">
        <v>33</v>
      </c>
      <c r="B24" s="30">
        <v>2</v>
      </c>
      <c r="C24" s="30">
        <v>122</v>
      </c>
      <c r="D24" s="30">
        <v>5100</v>
      </c>
      <c r="E24" s="31">
        <f t="shared" si="0"/>
        <v>206360</v>
      </c>
      <c r="F24" s="31">
        <f t="shared" si="0"/>
        <v>206360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  <c r="K24" s="31">
        <v>0</v>
      </c>
      <c r="L24" s="31">
        <v>0</v>
      </c>
      <c r="M24" s="31">
        <f t="shared" si="16"/>
        <v>0</v>
      </c>
      <c r="N24" s="31">
        <f>206360-70572-135788</f>
        <v>0</v>
      </c>
      <c r="O24" s="31">
        <f>206360-70572-135788</f>
        <v>0</v>
      </c>
      <c r="P24" s="31">
        <f t="shared" si="17"/>
        <v>0</v>
      </c>
      <c r="Q24" s="31">
        <v>0</v>
      </c>
      <c r="R24" s="31">
        <v>0</v>
      </c>
      <c r="S24" s="31">
        <f t="shared" si="18"/>
        <v>0</v>
      </c>
      <c r="T24" s="31">
        <v>0</v>
      </c>
      <c r="U24" s="31">
        <v>0</v>
      </c>
      <c r="V24" s="31">
        <f t="shared" si="19"/>
        <v>0</v>
      </c>
      <c r="W24" s="31">
        <v>0</v>
      </c>
      <c r="X24" s="31">
        <v>0</v>
      </c>
      <c r="Y24" s="31">
        <f t="shared" si="20"/>
        <v>0</v>
      </c>
      <c r="Z24" s="31">
        <v>0</v>
      </c>
      <c r="AA24" s="31">
        <v>0</v>
      </c>
      <c r="AB24" s="31">
        <f t="shared" si="21"/>
        <v>0</v>
      </c>
      <c r="AC24" s="31">
        <v>206360</v>
      </c>
      <c r="AD24" s="31">
        <v>206360</v>
      </c>
      <c r="AE24" s="31">
        <f t="shared" si="22"/>
        <v>0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ht="31.5" x14ac:dyDescent="0.25">
      <c r="A25" s="29" t="s">
        <v>34</v>
      </c>
      <c r="B25" s="30">
        <v>2</v>
      </c>
      <c r="C25" s="30">
        <v>122</v>
      </c>
      <c r="D25" s="30">
        <v>5100</v>
      </c>
      <c r="E25" s="31">
        <f t="shared" si="0"/>
        <v>157837</v>
      </c>
      <c r="F25" s="31">
        <f t="shared" si="0"/>
        <v>157837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  <c r="K25" s="31">
        <v>0</v>
      </c>
      <c r="L25" s="31">
        <v>0</v>
      </c>
      <c r="M25" s="31">
        <f t="shared" si="16"/>
        <v>0</v>
      </c>
      <c r="N25" s="31">
        <f>87265+70572</f>
        <v>157837</v>
      </c>
      <c r="O25" s="31">
        <f>87265+70572</f>
        <v>157837</v>
      </c>
      <c r="P25" s="31">
        <f t="shared" si="17"/>
        <v>0</v>
      </c>
      <c r="Q25" s="31">
        <v>0</v>
      </c>
      <c r="R25" s="31">
        <v>0</v>
      </c>
      <c r="S25" s="31">
        <f t="shared" si="18"/>
        <v>0</v>
      </c>
      <c r="T25" s="31">
        <v>0</v>
      </c>
      <c r="U25" s="31">
        <v>0</v>
      </c>
      <c r="V25" s="31">
        <f t="shared" si="19"/>
        <v>0</v>
      </c>
      <c r="W25" s="31">
        <v>0</v>
      </c>
      <c r="X25" s="31">
        <v>0</v>
      </c>
      <c r="Y25" s="31">
        <f t="shared" si="20"/>
        <v>0</v>
      </c>
      <c r="Z25" s="31">
        <v>0</v>
      </c>
      <c r="AA25" s="31">
        <v>0</v>
      </c>
      <c r="AB25" s="31">
        <f t="shared" si="21"/>
        <v>0</v>
      </c>
      <c r="AC25" s="31">
        <v>0</v>
      </c>
      <c r="AD25" s="31">
        <v>0</v>
      </c>
      <c r="AE25" s="31">
        <f t="shared" si="22"/>
        <v>0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x14ac:dyDescent="0.25">
      <c r="A26" s="32" t="s">
        <v>35</v>
      </c>
      <c r="B26" s="33"/>
      <c r="C26" s="33"/>
      <c r="D26" s="33">
        <v>5100</v>
      </c>
      <c r="E26" s="28">
        <f t="shared" si="0"/>
        <v>1065736</v>
      </c>
      <c r="F26" s="28">
        <f t="shared" si="0"/>
        <v>1195736</v>
      </c>
      <c r="G26" s="28">
        <f t="shared" si="0"/>
        <v>130000</v>
      </c>
      <c r="H26" s="28">
        <f>SUM(H27)</f>
        <v>0</v>
      </c>
      <c r="I26" s="28">
        <f>SUM(I27)</f>
        <v>130000</v>
      </c>
      <c r="J26" s="28">
        <f t="shared" si="1"/>
        <v>130000</v>
      </c>
      <c r="K26" s="28">
        <f>SUM(K27)</f>
        <v>0</v>
      </c>
      <c r="L26" s="28">
        <f>SUM(L27)</f>
        <v>0</v>
      </c>
      <c r="M26" s="28">
        <f t="shared" si="16"/>
        <v>0</v>
      </c>
      <c r="N26" s="28">
        <f>SUM(N27)</f>
        <v>185924</v>
      </c>
      <c r="O26" s="28">
        <f>SUM(O27)</f>
        <v>185924</v>
      </c>
      <c r="P26" s="28">
        <f t="shared" si="17"/>
        <v>0</v>
      </c>
      <c r="Q26" s="28">
        <f>SUM(Q27)</f>
        <v>0</v>
      </c>
      <c r="R26" s="28">
        <f>SUM(R27)</f>
        <v>0</v>
      </c>
      <c r="S26" s="28">
        <f t="shared" si="18"/>
        <v>0</v>
      </c>
      <c r="T26" s="28">
        <f>SUM(T27)</f>
        <v>17414</v>
      </c>
      <c r="U26" s="28">
        <f>SUM(U27)</f>
        <v>17414</v>
      </c>
      <c r="V26" s="28">
        <f t="shared" si="19"/>
        <v>0</v>
      </c>
      <c r="W26" s="28">
        <f>SUM(W27)</f>
        <v>537698</v>
      </c>
      <c r="X26" s="28">
        <f>SUM(X27)</f>
        <v>537698</v>
      </c>
      <c r="Y26" s="28">
        <f t="shared" si="20"/>
        <v>0</v>
      </c>
      <c r="Z26" s="28">
        <f>SUM(Z27)</f>
        <v>0</v>
      </c>
      <c r="AA26" s="28">
        <f>SUM(AA27)</f>
        <v>0</v>
      </c>
      <c r="AB26" s="28">
        <f t="shared" si="21"/>
        <v>0</v>
      </c>
      <c r="AC26" s="28">
        <f>SUM(AC27)</f>
        <v>324700</v>
      </c>
      <c r="AD26" s="28">
        <f>SUM(AD27)</f>
        <v>324700</v>
      </c>
      <c r="AE26" s="28">
        <f t="shared" si="22"/>
        <v>0</v>
      </c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</row>
    <row r="27" spans="1:255" x14ac:dyDescent="0.25">
      <c r="A27" s="26" t="s">
        <v>20</v>
      </c>
      <c r="B27" s="34"/>
      <c r="C27" s="34"/>
      <c r="D27" s="34">
        <v>5100</v>
      </c>
      <c r="E27" s="28">
        <f t="shared" si="0"/>
        <v>1065736</v>
      </c>
      <c r="F27" s="28">
        <f t="shared" si="0"/>
        <v>1195736</v>
      </c>
      <c r="G27" s="28">
        <f t="shared" si="0"/>
        <v>130000</v>
      </c>
      <c r="H27" s="28">
        <f>SUM(H28:H40)</f>
        <v>0</v>
      </c>
      <c r="I27" s="28">
        <f>SUM(I28:I40)</f>
        <v>130000</v>
      </c>
      <c r="J27" s="28">
        <f t="shared" si="1"/>
        <v>130000</v>
      </c>
      <c r="K27" s="28">
        <f>SUM(K28:K40)</f>
        <v>0</v>
      </c>
      <c r="L27" s="28">
        <f>SUM(L28:L40)</f>
        <v>0</v>
      </c>
      <c r="M27" s="28">
        <f t="shared" si="16"/>
        <v>0</v>
      </c>
      <c r="N27" s="28">
        <f>SUM(N28:N40)</f>
        <v>185924</v>
      </c>
      <c r="O27" s="28">
        <f>SUM(O28:O40)</f>
        <v>185924</v>
      </c>
      <c r="P27" s="28">
        <f t="shared" si="17"/>
        <v>0</v>
      </c>
      <c r="Q27" s="28">
        <f>SUM(Q28:Q40)</f>
        <v>0</v>
      </c>
      <c r="R27" s="28">
        <f>SUM(R28:R40)</f>
        <v>0</v>
      </c>
      <c r="S27" s="28">
        <f t="shared" si="18"/>
        <v>0</v>
      </c>
      <c r="T27" s="28">
        <f>SUM(T28:T40)</f>
        <v>17414</v>
      </c>
      <c r="U27" s="28">
        <f>SUM(U28:U40)</f>
        <v>17414</v>
      </c>
      <c r="V27" s="28">
        <f t="shared" si="19"/>
        <v>0</v>
      </c>
      <c r="W27" s="28">
        <f>SUM(W28:W40)</f>
        <v>537698</v>
      </c>
      <c r="X27" s="28">
        <f>SUM(X28:X40)</f>
        <v>537698</v>
      </c>
      <c r="Y27" s="28">
        <f t="shared" si="20"/>
        <v>0</v>
      </c>
      <c r="Z27" s="28">
        <f>SUM(Z28:Z40)</f>
        <v>0</v>
      </c>
      <c r="AA27" s="28">
        <f>SUM(AA28:AA40)</f>
        <v>0</v>
      </c>
      <c r="AB27" s="28">
        <f t="shared" si="21"/>
        <v>0</v>
      </c>
      <c r="AC27" s="28">
        <f>SUM(AC28:AC40)</f>
        <v>324700</v>
      </c>
      <c r="AD27" s="28">
        <f>SUM(AD28:AD40)</f>
        <v>324700</v>
      </c>
      <c r="AE27" s="28">
        <f t="shared" si="22"/>
        <v>0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</row>
    <row r="28" spans="1:255" x14ac:dyDescent="0.25">
      <c r="A28" s="35" t="s">
        <v>36</v>
      </c>
      <c r="B28" s="36"/>
      <c r="C28" s="36"/>
      <c r="D28" s="37"/>
      <c r="E28" s="38">
        <f t="shared" si="0"/>
        <v>110000</v>
      </c>
      <c r="F28" s="38">
        <f t="shared" si="0"/>
        <v>110000</v>
      </c>
      <c r="G28" s="38">
        <f t="shared" si="0"/>
        <v>0</v>
      </c>
      <c r="H28" s="38">
        <v>0</v>
      </c>
      <c r="I28" s="38">
        <v>0</v>
      </c>
      <c r="J28" s="38">
        <f t="shared" si="1"/>
        <v>0</v>
      </c>
      <c r="K28" s="38">
        <v>0</v>
      </c>
      <c r="L28" s="38">
        <v>0</v>
      </c>
      <c r="M28" s="38">
        <f t="shared" si="16"/>
        <v>0</v>
      </c>
      <c r="N28" s="38"/>
      <c r="O28" s="38"/>
      <c r="P28" s="38">
        <f t="shared" si="17"/>
        <v>0</v>
      </c>
      <c r="Q28" s="38">
        <v>0</v>
      </c>
      <c r="R28" s="38">
        <v>0</v>
      </c>
      <c r="S28" s="38">
        <f t="shared" si="18"/>
        <v>0</v>
      </c>
      <c r="T28" s="38">
        <v>0</v>
      </c>
      <c r="U28" s="38">
        <v>0</v>
      </c>
      <c r="V28" s="38">
        <f t="shared" si="19"/>
        <v>0</v>
      </c>
      <c r="W28" s="38">
        <v>0</v>
      </c>
      <c r="X28" s="38">
        <v>0</v>
      </c>
      <c r="Y28" s="38">
        <f t="shared" si="20"/>
        <v>0</v>
      </c>
      <c r="Z28" s="38">
        <v>0</v>
      </c>
      <c r="AA28" s="38">
        <v>0</v>
      </c>
      <c r="AB28" s="38">
        <f t="shared" si="21"/>
        <v>0</v>
      </c>
      <c r="AC28" s="38">
        <v>110000</v>
      </c>
      <c r="AD28" s="38">
        <v>110000</v>
      </c>
      <c r="AE28" s="38">
        <f t="shared" si="22"/>
        <v>0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 ht="31.5" x14ac:dyDescent="0.25">
      <c r="A29" s="39" t="s">
        <v>37</v>
      </c>
      <c r="B29" s="37">
        <v>3</v>
      </c>
      <c r="C29" s="37">
        <v>284</v>
      </c>
      <c r="D29" s="40">
        <v>5100</v>
      </c>
      <c r="E29" s="38">
        <f t="shared" si="0"/>
        <v>88900</v>
      </c>
      <c r="F29" s="38">
        <f t="shared" si="0"/>
        <v>88900</v>
      </c>
      <c r="G29" s="38">
        <f t="shared" si="0"/>
        <v>0</v>
      </c>
      <c r="H29" s="38">
        <v>0</v>
      </c>
      <c r="I29" s="38">
        <v>0</v>
      </c>
      <c r="J29" s="38">
        <f t="shared" si="1"/>
        <v>0</v>
      </c>
      <c r="K29" s="38">
        <v>0</v>
      </c>
      <c r="L29" s="38">
        <v>0</v>
      </c>
      <c r="M29" s="38">
        <f t="shared" si="16"/>
        <v>0</v>
      </c>
      <c r="N29" s="38">
        <v>88900</v>
      </c>
      <c r="O29" s="38">
        <v>88900</v>
      </c>
      <c r="P29" s="38">
        <f t="shared" si="17"/>
        <v>0</v>
      </c>
      <c r="Q29" s="38">
        <v>0</v>
      </c>
      <c r="R29" s="38">
        <v>0</v>
      </c>
      <c r="S29" s="38">
        <f t="shared" si="18"/>
        <v>0</v>
      </c>
      <c r="T29" s="38">
        <v>0</v>
      </c>
      <c r="U29" s="38">
        <v>0</v>
      </c>
      <c r="V29" s="38">
        <f t="shared" si="19"/>
        <v>0</v>
      </c>
      <c r="W29" s="38">
        <v>0</v>
      </c>
      <c r="X29" s="38">
        <v>0</v>
      </c>
      <c r="Y29" s="38">
        <f t="shared" si="20"/>
        <v>0</v>
      </c>
      <c r="Z29" s="38">
        <v>0</v>
      </c>
      <c r="AA29" s="38">
        <v>0</v>
      </c>
      <c r="AB29" s="38">
        <f t="shared" si="21"/>
        <v>0</v>
      </c>
      <c r="AC29" s="38"/>
      <c r="AD29" s="38"/>
      <c r="AE29" s="38">
        <f t="shared" si="22"/>
        <v>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ht="47.25" x14ac:dyDescent="0.25">
      <c r="A30" s="39" t="s">
        <v>38</v>
      </c>
      <c r="B30" s="37">
        <v>3</v>
      </c>
      <c r="C30" s="37">
        <v>284</v>
      </c>
      <c r="D30" s="40">
        <v>5100</v>
      </c>
      <c r="E30" s="38">
        <f t="shared" si="0"/>
        <v>146200</v>
      </c>
      <c r="F30" s="38">
        <f t="shared" si="0"/>
        <v>146200</v>
      </c>
      <c r="G30" s="38">
        <f t="shared" si="0"/>
        <v>0</v>
      </c>
      <c r="H30" s="38">
        <v>0</v>
      </c>
      <c r="I30" s="38">
        <v>0</v>
      </c>
      <c r="J30" s="38">
        <f t="shared" si="1"/>
        <v>0</v>
      </c>
      <c r="K30" s="38">
        <v>0</v>
      </c>
      <c r="L30" s="38">
        <v>0</v>
      </c>
      <c r="M30" s="38">
        <f t="shared" si="16"/>
        <v>0</v>
      </c>
      <c r="N30" s="38">
        <f>146200-146200</f>
        <v>0</v>
      </c>
      <c r="O30" s="38">
        <f>146200-146200</f>
        <v>0</v>
      </c>
      <c r="P30" s="38">
        <f t="shared" si="17"/>
        <v>0</v>
      </c>
      <c r="Q30" s="38">
        <v>0</v>
      </c>
      <c r="R30" s="38">
        <v>0</v>
      </c>
      <c r="S30" s="38">
        <f t="shared" si="18"/>
        <v>0</v>
      </c>
      <c r="T30" s="38">
        <v>0</v>
      </c>
      <c r="U30" s="38">
        <v>0</v>
      </c>
      <c r="V30" s="38">
        <f t="shared" si="19"/>
        <v>0</v>
      </c>
      <c r="W30" s="38">
        <v>0</v>
      </c>
      <c r="X30" s="38">
        <v>0</v>
      </c>
      <c r="Y30" s="38">
        <f t="shared" si="20"/>
        <v>0</v>
      </c>
      <c r="Z30" s="38">
        <v>0</v>
      </c>
      <c r="AA30" s="38">
        <v>0</v>
      </c>
      <c r="AB30" s="38">
        <f t="shared" si="21"/>
        <v>0</v>
      </c>
      <c r="AC30" s="38">
        <f>146200</f>
        <v>146200</v>
      </c>
      <c r="AD30" s="38">
        <f>146200</f>
        <v>146200</v>
      </c>
      <c r="AE30" s="38">
        <f t="shared" si="22"/>
        <v>0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x14ac:dyDescent="0.25">
      <c r="A31" s="39" t="s">
        <v>39</v>
      </c>
      <c r="B31" s="37">
        <v>3</v>
      </c>
      <c r="C31" s="37">
        <v>284</v>
      </c>
      <c r="D31" s="40">
        <v>5100</v>
      </c>
      <c r="E31" s="38">
        <f t="shared" si="0"/>
        <v>68500</v>
      </c>
      <c r="F31" s="38">
        <f t="shared" si="0"/>
        <v>68500</v>
      </c>
      <c r="G31" s="38">
        <f t="shared" si="0"/>
        <v>0</v>
      </c>
      <c r="H31" s="38">
        <v>0</v>
      </c>
      <c r="I31" s="38">
        <v>0</v>
      </c>
      <c r="J31" s="38">
        <f t="shared" si="1"/>
        <v>0</v>
      </c>
      <c r="K31" s="38">
        <v>0</v>
      </c>
      <c r="L31" s="38">
        <v>0</v>
      </c>
      <c r="M31" s="38">
        <f t="shared" si="16"/>
        <v>0</v>
      </c>
      <c r="N31" s="38">
        <f>68500-68500</f>
        <v>0</v>
      </c>
      <c r="O31" s="38">
        <f>68500-68500</f>
        <v>0</v>
      </c>
      <c r="P31" s="38">
        <f t="shared" si="17"/>
        <v>0</v>
      </c>
      <c r="Q31" s="38">
        <v>0</v>
      </c>
      <c r="R31" s="38">
        <v>0</v>
      </c>
      <c r="S31" s="38">
        <f t="shared" si="18"/>
        <v>0</v>
      </c>
      <c r="T31" s="38">
        <v>0</v>
      </c>
      <c r="U31" s="38">
        <v>0</v>
      </c>
      <c r="V31" s="38">
        <f t="shared" si="19"/>
        <v>0</v>
      </c>
      <c r="W31" s="38">
        <v>0</v>
      </c>
      <c r="X31" s="38">
        <v>0</v>
      </c>
      <c r="Y31" s="38">
        <f t="shared" si="20"/>
        <v>0</v>
      </c>
      <c r="Z31" s="38">
        <v>0</v>
      </c>
      <c r="AA31" s="38">
        <v>0</v>
      </c>
      <c r="AB31" s="38">
        <f t="shared" si="21"/>
        <v>0</v>
      </c>
      <c r="AC31" s="38">
        <f>68500</f>
        <v>68500</v>
      </c>
      <c r="AD31" s="38">
        <f>68500</f>
        <v>68500</v>
      </c>
      <c r="AE31" s="38">
        <f t="shared" si="22"/>
        <v>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ht="47.25" x14ac:dyDescent="0.25">
      <c r="A32" s="39" t="s">
        <v>40</v>
      </c>
      <c r="B32" s="37">
        <v>3</v>
      </c>
      <c r="C32" s="37">
        <v>284</v>
      </c>
      <c r="D32" s="40">
        <v>5100</v>
      </c>
      <c r="E32" s="38">
        <f t="shared" si="0"/>
        <v>0</v>
      </c>
      <c r="F32" s="38">
        <f t="shared" si="0"/>
        <v>130000</v>
      </c>
      <c r="G32" s="38">
        <f t="shared" si="0"/>
        <v>130000</v>
      </c>
      <c r="H32" s="38">
        <v>0</v>
      </c>
      <c r="I32" s="38">
        <v>130000</v>
      </c>
      <c r="J32" s="38">
        <f t="shared" si="1"/>
        <v>130000</v>
      </c>
      <c r="K32" s="38">
        <v>0</v>
      </c>
      <c r="L32" s="38">
        <v>0</v>
      </c>
      <c r="M32" s="38">
        <f t="shared" si="16"/>
        <v>0</v>
      </c>
      <c r="N32" s="38"/>
      <c r="O32" s="38"/>
      <c r="P32" s="38">
        <f t="shared" si="17"/>
        <v>0</v>
      </c>
      <c r="Q32" s="38">
        <v>0</v>
      </c>
      <c r="R32" s="38">
        <v>0</v>
      </c>
      <c r="S32" s="38">
        <f t="shared" si="18"/>
        <v>0</v>
      </c>
      <c r="T32" s="38">
        <v>0</v>
      </c>
      <c r="U32" s="38">
        <v>0</v>
      </c>
      <c r="V32" s="38">
        <f t="shared" si="19"/>
        <v>0</v>
      </c>
      <c r="W32" s="38">
        <v>0</v>
      </c>
      <c r="X32" s="38">
        <v>0</v>
      </c>
      <c r="Y32" s="38">
        <f t="shared" si="20"/>
        <v>0</v>
      </c>
      <c r="Z32" s="38">
        <v>0</v>
      </c>
      <c r="AA32" s="38">
        <v>0</v>
      </c>
      <c r="AB32" s="38">
        <f t="shared" si="21"/>
        <v>0</v>
      </c>
      <c r="AC32" s="38"/>
      <c r="AD32" s="38"/>
      <c r="AE32" s="38">
        <f t="shared" si="22"/>
        <v>0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ht="31.5" x14ac:dyDescent="0.25">
      <c r="A33" s="39" t="s">
        <v>41</v>
      </c>
      <c r="B33" s="37">
        <v>3</v>
      </c>
      <c r="C33" s="37">
        <v>284</v>
      </c>
      <c r="D33" s="40">
        <v>5100</v>
      </c>
      <c r="E33" s="38">
        <f t="shared" si="0"/>
        <v>52100</v>
      </c>
      <c r="F33" s="38">
        <f t="shared" si="0"/>
        <v>52100</v>
      </c>
      <c r="G33" s="38">
        <f t="shared" si="0"/>
        <v>0</v>
      </c>
      <c r="H33" s="38">
        <v>0</v>
      </c>
      <c r="I33" s="38">
        <v>0</v>
      </c>
      <c r="J33" s="38">
        <f t="shared" si="1"/>
        <v>0</v>
      </c>
      <c r="K33" s="38">
        <v>0</v>
      </c>
      <c r="L33" s="38">
        <v>0</v>
      </c>
      <c r="M33" s="38">
        <f t="shared" si="16"/>
        <v>0</v>
      </c>
      <c r="N33" s="38">
        <v>52100</v>
      </c>
      <c r="O33" s="38">
        <v>52100</v>
      </c>
      <c r="P33" s="38">
        <f t="shared" si="17"/>
        <v>0</v>
      </c>
      <c r="Q33" s="38">
        <v>0</v>
      </c>
      <c r="R33" s="38">
        <v>0</v>
      </c>
      <c r="S33" s="38">
        <f t="shared" si="18"/>
        <v>0</v>
      </c>
      <c r="T33" s="38">
        <v>0</v>
      </c>
      <c r="U33" s="38">
        <v>0</v>
      </c>
      <c r="V33" s="38">
        <f t="shared" si="19"/>
        <v>0</v>
      </c>
      <c r="W33" s="38">
        <v>0</v>
      </c>
      <c r="X33" s="38">
        <v>0</v>
      </c>
      <c r="Y33" s="38">
        <f t="shared" si="20"/>
        <v>0</v>
      </c>
      <c r="Z33" s="38">
        <v>0</v>
      </c>
      <c r="AA33" s="38">
        <v>0</v>
      </c>
      <c r="AB33" s="38">
        <f t="shared" si="21"/>
        <v>0</v>
      </c>
      <c r="AC33" s="38"/>
      <c r="AD33" s="38"/>
      <c r="AE33" s="38">
        <f t="shared" si="22"/>
        <v>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63" x14ac:dyDescent="0.25">
      <c r="A34" s="39" t="s">
        <v>42</v>
      </c>
      <c r="B34" s="36">
        <v>1</v>
      </c>
      <c r="C34" s="36">
        <v>284</v>
      </c>
      <c r="D34" s="36">
        <v>5100</v>
      </c>
      <c r="E34" s="38">
        <f t="shared" si="0"/>
        <v>416741</v>
      </c>
      <c r="F34" s="38">
        <f t="shared" si="0"/>
        <v>416741</v>
      </c>
      <c r="G34" s="38">
        <f t="shared" si="0"/>
        <v>0</v>
      </c>
      <c r="H34" s="38">
        <v>0</v>
      </c>
      <c r="I34" s="38">
        <v>0</v>
      </c>
      <c r="J34" s="38">
        <f t="shared" si="1"/>
        <v>0</v>
      </c>
      <c r="K34" s="38">
        <v>0</v>
      </c>
      <c r="L34" s="38">
        <v>0</v>
      </c>
      <c r="M34" s="38">
        <f t="shared" si="16"/>
        <v>0</v>
      </c>
      <c r="N34" s="38">
        <v>0</v>
      </c>
      <c r="O34" s="38">
        <v>0</v>
      </c>
      <c r="P34" s="38">
        <f t="shared" si="17"/>
        <v>0</v>
      </c>
      <c r="Q34" s="38">
        <v>0</v>
      </c>
      <c r="R34" s="38">
        <v>0</v>
      </c>
      <c r="S34" s="38">
        <f t="shared" si="18"/>
        <v>0</v>
      </c>
      <c r="T34" s="38">
        <v>0</v>
      </c>
      <c r="U34" s="38">
        <v>0</v>
      </c>
      <c r="V34" s="38">
        <f t="shared" si="19"/>
        <v>0</v>
      </c>
      <c r="W34" s="38">
        <v>416741</v>
      </c>
      <c r="X34" s="38">
        <v>416741</v>
      </c>
      <c r="Y34" s="38">
        <f t="shared" si="20"/>
        <v>0</v>
      </c>
      <c r="Z34" s="38"/>
      <c r="AA34" s="38"/>
      <c r="AB34" s="38">
        <f t="shared" si="21"/>
        <v>0</v>
      </c>
      <c r="AC34" s="38">
        <v>0</v>
      </c>
      <c r="AD34" s="38">
        <v>0</v>
      </c>
      <c r="AE34" s="38">
        <f t="shared" si="22"/>
        <v>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ht="31.5" x14ac:dyDescent="0.25">
      <c r="A35" s="41" t="s">
        <v>43</v>
      </c>
      <c r="B35" s="36">
        <v>1</v>
      </c>
      <c r="C35" s="36">
        <v>283</v>
      </c>
      <c r="D35" s="36">
        <v>5100</v>
      </c>
      <c r="E35" s="38">
        <f t="shared" si="0"/>
        <v>7414</v>
      </c>
      <c r="F35" s="38">
        <f t="shared" si="0"/>
        <v>7414</v>
      </c>
      <c r="G35" s="38">
        <f t="shared" si="0"/>
        <v>0</v>
      </c>
      <c r="H35" s="38">
        <v>0</v>
      </c>
      <c r="I35" s="38">
        <v>0</v>
      </c>
      <c r="J35" s="38">
        <f t="shared" si="1"/>
        <v>0</v>
      </c>
      <c r="K35" s="38">
        <v>0</v>
      </c>
      <c r="L35" s="38">
        <v>0</v>
      </c>
      <c r="M35" s="38">
        <f t="shared" si="16"/>
        <v>0</v>
      </c>
      <c r="N35" s="38">
        <v>0</v>
      </c>
      <c r="O35" s="38">
        <v>0</v>
      </c>
      <c r="P35" s="38">
        <f t="shared" si="17"/>
        <v>0</v>
      </c>
      <c r="Q35" s="38">
        <v>0</v>
      </c>
      <c r="R35" s="38">
        <v>0</v>
      </c>
      <c r="S35" s="38">
        <f t="shared" si="18"/>
        <v>0</v>
      </c>
      <c r="T35" s="38">
        <v>7414</v>
      </c>
      <c r="U35" s="38">
        <v>7414</v>
      </c>
      <c r="V35" s="38">
        <f t="shared" si="19"/>
        <v>0</v>
      </c>
      <c r="W35" s="38">
        <v>0</v>
      </c>
      <c r="X35" s="38">
        <v>0</v>
      </c>
      <c r="Y35" s="38">
        <f t="shared" si="20"/>
        <v>0</v>
      </c>
      <c r="Z35" s="38">
        <v>0</v>
      </c>
      <c r="AA35" s="38">
        <v>0</v>
      </c>
      <c r="AB35" s="38">
        <f t="shared" si="21"/>
        <v>0</v>
      </c>
      <c r="AC35" s="38">
        <v>0</v>
      </c>
      <c r="AD35" s="38">
        <v>0</v>
      </c>
      <c r="AE35" s="38">
        <f t="shared" si="22"/>
        <v>0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x14ac:dyDescent="0.25">
      <c r="A36" s="35" t="s">
        <v>44</v>
      </c>
      <c r="B36" s="36">
        <v>1</v>
      </c>
      <c r="C36" s="36">
        <v>239</v>
      </c>
      <c r="D36" s="37">
        <v>5100</v>
      </c>
      <c r="E36" s="38">
        <f t="shared" si="0"/>
        <v>10000</v>
      </c>
      <c r="F36" s="38">
        <f t="shared" si="0"/>
        <v>10000</v>
      </c>
      <c r="G36" s="38">
        <f t="shared" si="0"/>
        <v>0</v>
      </c>
      <c r="H36" s="38">
        <v>0</v>
      </c>
      <c r="I36" s="38">
        <v>0</v>
      </c>
      <c r="J36" s="38">
        <f t="shared" si="1"/>
        <v>0</v>
      </c>
      <c r="K36" s="38">
        <v>0</v>
      </c>
      <c r="L36" s="38">
        <v>0</v>
      </c>
      <c r="M36" s="38">
        <f t="shared" si="16"/>
        <v>0</v>
      </c>
      <c r="N36" s="38">
        <v>0</v>
      </c>
      <c r="O36" s="38">
        <v>0</v>
      </c>
      <c r="P36" s="38">
        <f t="shared" si="17"/>
        <v>0</v>
      </c>
      <c r="Q36" s="38">
        <v>0</v>
      </c>
      <c r="R36" s="38">
        <v>0</v>
      </c>
      <c r="S36" s="38">
        <f t="shared" si="18"/>
        <v>0</v>
      </c>
      <c r="T36" s="38">
        <v>10000</v>
      </c>
      <c r="U36" s="38">
        <v>10000</v>
      </c>
      <c r="V36" s="38">
        <f t="shared" si="19"/>
        <v>0</v>
      </c>
      <c r="W36" s="38">
        <v>0</v>
      </c>
      <c r="X36" s="38">
        <v>0</v>
      </c>
      <c r="Y36" s="38">
        <f t="shared" si="20"/>
        <v>0</v>
      </c>
      <c r="Z36" s="38">
        <v>0</v>
      </c>
      <c r="AA36" s="38">
        <v>0</v>
      </c>
      <c r="AB36" s="38">
        <f t="shared" si="21"/>
        <v>0</v>
      </c>
      <c r="AC36" s="38">
        <v>0</v>
      </c>
      <c r="AD36" s="38">
        <v>0</v>
      </c>
      <c r="AE36" s="38">
        <f t="shared" si="22"/>
        <v>0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ht="31.5" x14ac:dyDescent="0.25">
      <c r="A37" s="42" t="s">
        <v>45</v>
      </c>
      <c r="B37" s="43" t="s">
        <v>46</v>
      </c>
      <c r="C37" s="40">
        <v>284</v>
      </c>
      <c r="D37" s="40">
        <v>5100</v>
      </c>
      <c r="E37" s="38">
        <f t="shared" si="0"/>
        <v>21429</v>
      </c>
      <c r="F37" s="38">
        <f t="shared" si="0"/>
        <v>21429</v>
      </c>
      <c r="G37" s="38">
        <f t="shared" si="0"/>
        <v>0</v>
      </c>
      <c r="H37" s="38">
        <v>0</v>
      </c>
      <c r="I37" s="38">
        <v>0</v>
      </c>
      <c r="J37" s="38">
        <f t="shared" si="1"/>
        <v>0</v>
      </c>
      <c r="K37" s="38">
        <v>0</v>
      </c>
      <c r="L37" s="38">
        <v>0</v>
      </c>
      <c r="M37" s="38">
        <f t="shared" si="16"/>
        <v>0</v>
      </c>
      <c r="N37" s="38">
        <v>159</v>
      </c>
      <c r="O37" s="38">
        <v>159</v>
      </c>
      <c r="P37" s="38">
        <f t="shared" si="17"/>
        <v>0</v>
      </c>
      <c r="Q37" s="38">
        <v>0</v>
      </c>
      <c r="R37" s="38">
        <v>0</v>
      </c>
      <c r="S37" s="38">
        <f t="shared" si="18"/>
        <v>0</v>
      </c>
      <c r="T37" s="38">
        <v>0</v>
      </c>
      <c r="U37" s="38">
        <v>0</v>
      </c>
      <c r="V37" s="38">
        <f t="shared" si="19"/>
        <v>0</v>
      </c>
      <c r="W37" s="38">
        <v>21270</v>
      </c>
      <c r="X37" s="38">
        <v>21270</v>
      </c>
      <c r="Y37" s="38">
        <f t="shared" si="20"/>
        <v>0</v>
      </c>
      <c r="Z37" s="38">
        <v>0</v>
      </c>
      <c r="AA37" s="38">
        <v>0</v>
      </c>
      <c r="AB37" s="38">
        <f t="shared" si="21"/>
        <v>0</v>
      </c>
      <c r="AC37" s="38">
        <v>0</v>
      </c>
      <c r="AD37" s="38">
        <v>0</v>
      </c>
      <c r="AE37" s="38">
        <f t="shared" si="22"/>
        <v>0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ht="47.25" x14ac:dyDescent="0.25">
      <c r="A38" s="42" t="s">
        <v>47</v>
      </c>
      <c r="B38" s="40">
        <v>1</v>
      </c>
      <c r="C38" s="40">
        <v>284</v>
      </c>
      <c r="D38" s="40">
        <v>5100</v>
      </c>
      <c r="E38" s="38">
        <f t="shared" si="0"/>
        <v>117937</v>
      </c>
      <c r="F38" s="38">
        <f t="shared" si="0"/>
        <v>117937</v>
      </c>
      <c r="G38" s="38">
        <f t="shared" si="0"/>
        <v>0</v>
      </c>
      <c r="H38" s="38">
        <v>0</v>
      </c>
      <c r="I38" s="38">
        <v>0</v>
      </c>
      <c r="J38" s="38">
        <f t="shared" si="1"/>
        <v>0</v>
      </c>
      <c r="K38" s="38">
        <v>0</v>
      </c>
      <c r="L38" s="38">
        <v>0</v>
      </c>
      <c r="M38" s="38">
        <f t="shared" si="16"/>
        <v>0</v>
      </c>
      <c r="N38" s="38">
        <v>38021</v>
      </c>
      <c r="O38" s="38">
        <v>38021</v>
      </c>
      <c r="P38" s="38">
        <f t="shared" si="17"/>
        <v>0</v>
      </c>
      <c r="Q38" s="38">
        <v>0</v>
      </c>
      <c r="R38" s="38">
        <v>0</v>
      </c>
      <c r="S38" s="38">
        <f t="shared" si="18"/>
        <v>0</v>
      </c>
      <c r="T38" s="38">
        <v>0</v>
      </c>
      <c r="U38" s="38">
        <v>0</v>
      </c>
      <c r="V38" s="38">
        <f t="shared" si="19"/>
        <v>0</v>
      </c>
      <c r="W38" s="38">
        <v>79916</v>
      </c>
      <c r="X38" s="38">
        <v>79916</v>
      </c>
      <c r="Y38" s="38">
        <f t="shared" si="20"/>
        <v>0</v>
      </c>
      <c r="Z38" s="38">
        <v>0</v>
      </c>
      <c r="AA38" s="38">
        <v>0</v>
      </c>
      <c r="AB38" s="38">
        <f t="shared" si="21"/>
        <v>0</v>
      </c>
      <c r="AC38" s="38">
        <v>0</v>
      </c>
      <c r="AD38" s="38">
        <v>0</v>
      </c>
      <c r="AE38" s="38">
        <f t="shared" si="22"/>
        <v>0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ht="31.5" x14ac:dyDescent="0.25">
      <c r="A39" s="42" t="s">
        <v>48</v>
      </c>
      <c r="B39" s="40">
        <v>3</v>
      </c>
      <c r="C39" s="40">
        <v>284</v>
      </c>
      <c r="D39" s="40">
        <v>5100</v>
      </c>
      <c r="E39" s="38">
        <f t="shared" si="0"/>
        <v>4638</v>
      </c>
      <c r="F39" s="38">
        <f t="shared" si="0"/>
        <v>4638</v>
      </c>
      <c r="G39" s="38">
        <f t="shared" si="0"/>
        <v>0</v>
      </c>
      <c r="H39" s="38">
        <v>0</v>
      </c>
      <c r="I39" s="38">
        <v>0</v>
      </c>
      <c r="J39" s="38">
        <f t="shared" si="1"/>
        <v>0</v>
      </c>
      <c r="K39" s="38">
        <v>0</v>
      </c>
      <c r="L39" s="38">
        <v>0</v>
      </c>
      <c r="M39" s="38">
        <f t="shared" si="16"/>
        <v>0</v>
      </c>
      <c r="N39" s="38">
        <v>4638</v>
      </c>
      <c r="O39" s="38">
        <v>4638</v>
      </c>
      <c r="P39" s="38">
        <f t="shared" si="17"/>
        <v>0</v>
      </c>
      <c r="Q39" s="38">
        <v>0</v>
      </c>
      <c r="R39" s="38">
        <v>0</v>
      </c>
      <c r="S39" s="38">
        <f t="shared" si="18"/>
        <v>0</v>
      </c>
      <c r="T39" s="38">
        <v>0</v>
      </c>
      <c r="U39" s="38">
        <v>0</v>
      </c>
      <c r="V39" s="38">
        <f t="shared" si="19"/>
        <v>0</v>
      </c>
      <c r="W39" s="38"/>
      <c r="X39" s="38"/>
      <c r="Y39" s="38">
        <f t="shared" si="20"/>
        <v>0</v>
      </c>
      <c r="Z39" s="38">
        <v>0</v>
      </c>
      <c r="AA39" s="38">
        <v>0</v>
      </c>
      <c r="AB39" s="38">
        <f t="shared" si="21"/>
        <v>0</v>
      </c>
      <c r="AC39" s="38">
        <v>0</v>
      </c>
      <c r="AD39" s="38">
        <v>0</v>
      </c>
      <c r="AE39" s="38">
        <f t="shared" si="22"/>
        <v>0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  <row r="40" spans="1:255" ht="63" x14ac:dyDescent="0.25">
      <c r="A40" s="35" t="s">
        <v>49</v>
      </c>
      <c r="B40" s="43" t="s">
        <v>46</v>
      </c>
      <c r="C40" s="40">
        <v>284</v>
      </c>
      <c r="D40" s="40">
        <v>5100</v>
      </c>
      <c r="E40" s="31">
        <f t="shared" si="0"/>
        <v>21877</v>
      </c>
      <c r="F40" s="31">
        <f t="shared" si="0"/>
        <v>21877</v>
      </c>
      <c r="G40" s="31">
        <f t="shared" si="0"/>
        <v>0</v>
      </c>
      <c r="H40" s="31">
        <v>0</v>
      </c>
      <c r="I40" s="31">
        <v>0</v>
      </c>
      <c r="J40" s="31">
        <f t="shared" si="1"/>
        <v>0</v>
      </c>
      <c r="K40" s="31">
        <v>0</v>
      </c>
      <c r="L40" s="31">
        <v>0</v>
      </c>
      <c r="M40" s="31">
        <f t="shared" si="16"/>
        <v>0</v>
      </c>
      <c r="N40" s="31">
        <f>1338+768</f>
        <v>2106</v>
      </c>
      <c r="O40" s="31">
        <f>1338+768</f>
        <v>2106</v>
      </c>
      <c r="P40" s="31">
        <f t="shared" si="17"/>
        <v>0</v>
      </c>
      <c r="Q40" s="31">
        <v>0</v>
      </c>
      <c r="R40" s="31">
        <v>0</v>
      </c>
      <c r="S40" s="31">
        <f t="shared" si="18"/>
        <v>0</v>
      </c>
      <c r="T40" s="31">
        <v>0</v>
      </c>
      <c r="U40" s="31">
        <v>0</v>
      </c>
      <c r="V40" s="31">
        <f t="shared" si="19"/>
        <v>0</v>
      </c>
      <c r="W40" s="31">
        <v>19771</v>
      </c>
      <c r="X40" s="31">
        <v>19771</v>
      </c>
      <c r="Y40" s="31">
        <f t="shared" si="20"/>
        <v>0</v>
      </c>
      <c r="Z40" s="31">
        <v>0</v>
      </c>
      <c r="AA40" s="31">
        <v>0</v>
      </c>
      <c r="AB40" s="31">
        <f t="shared" si="21"/>
        <v>0</v>
      </c>
      <c r="AC40" s="31">
        <v>0</v>
      </c>
      <c r="AD40" s="31">
        <v>0</v>
      </c>
      <c r="AE40" s="31">
        <f t="shared" si="22"/>
        <v>0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</row>
    <row r="41" spans="1:255" x14ac:dyDescent="0.25">
      <c r="A41" s="26" t="s">
        <v>50</v>
      </c>
      <c r="B41" s="34"/>
      <c r="C41" s="34"/>
      <c r="D41" s="40"/>
      <c r="E41" s="27">
        <f t="shared" si="0"/>
        <v>2112093</v>
      </c>
      <c r="F41" s="27">
        <f t="shared" si="0"/>
        <v>1995179</v>
      </c>
      <c r="G41" s="27">
        <f t="shared" si="0"/>
        <v>-116914</v>
      </c>
      <c r="H41" s="27">
        <f>SUM(H42)</f>
        <v>0</v>
      </c>
      <c r="I41" s="27">
        <f>SUM(I42)</f>
        <v>114000</v>
      </c>
      <c r="J41" s="27">
        <f t="shared" si="1"/>
        <v>114000</v>
      </c>
      <c r="K41" s="27">
        <f>SUM(K42)</f>
        <v>0</v>
      </c>
      <c r="L41" s="27">
        <f>SUM(L42)</f>
        <v>0</v>
      </c>
      <c r="M41" s="27">
        <f t="shared" si="16"/>
        <v>0</v>
      </c>
      <c r="N41" s="27">
        <f>SUM(N42)</f>
        <v>236286</v>
      </c>
      <c r="O41" s="27">
        <f>SUM(O42)</f>
        <v>146138</v>
      </c>
      <c r="P41" s="27">
        <f t="shared" si="17"/>
        <v>-90148</v>
      </c>
      <c r="Q41" s="27">
        <f>SUM(Q42)</f>
        <v>0</v>
      </c>
      <c r="R41" s="27">
        <f>SUM(R42)</f>
        <v>0</v>
      </c>
      <c r="S41" s="27">
        <f t="shared" si="18"/>
        <v>0</v>
      </c>
      <c r="T41" s="27">
        <f>SUM(T42)</f>
        <v>337685</v>
      </c>
      <c r="U41" s="27">
        <f>SUM(U42)</f>
        <v>337685</v>
      </c>
      <c r="V41" s="27">
        <f t="shared" si="19"/>
        <v>0</v>
      </c>
      <c r="W41" s="27">
        <f>SUM(W42)</f>
        <v>796966</v>
      </c>
      <c r="X41" s="27">
        <f>SUM(X42)</f>
        <v>656200</v>
      </c>
      <c r="Y41" s="27">
        <f t="shared" si="20"/>
        <v>-140766</v>
      </c>
      <c r="Z41" s="27">
        <f>SUM(Z42)</f>
        <v>0</v>
      </c>
      <c r="AA41" s="27">
        <f>SUM(AA42)</f>
        <v>0</v>
      </c>
      <c r="AB41" s="27">
        <f t="shared" si="21"/>
        <v>0</v>
      </c>
      <c r="AC41" s="27">
        <f>SUM(AC42)</f>
        <v>741156</v>
      </c>
      <c r="AD41" s="27">
        <f>SUM(AD42)</f>
        <v>741156</v>
      </c>
      <c r="AE41" s="27">
        <f t="shared" si="22"/>
        <v>0</v>
      </c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</row>
    <row r="42" spans="1:255" x14ac:dyDescent="0.25">
      <c r="A42" s="26" t="s">
        <v>20</v>
      </c>
      <c r="B42" s="34"/>
      <c r="C42" s="34"/>
      <c r="D42" s="40"/>
      <c r="E42" s="27">
        <f t="shared" si="0"/>
        <v>2112093</v>
      </c>
      <c r="F42" s="27">
        <f t="shared" si="0"/>
        <v>1995179</v>
      </c>
      <c r="G42" s="27">
        <f t="shared" si="0"/>
        <v>-116914</v>
      </c>
      <c r="H42" s="27">
        <f>SUM(H43:H49)</f>
        <v>0</v>
      </c>
      <c r="I42" s="27">
        <f>SUM(I43:I49)</f>
        <v>114000</v>
      </c>
      <c r="J42" s="27">
        <f t="shared" si="1"/>
        <v>114000</v>
      </c>
      <c r="K42" s="27">
        <f>SUM(K43:K49)</f>
        <v>0</v>
      </c>
      <c r="L42" s="27">
        <f>SUM(L43:L49)</f>
        <v>0</v>
      </c>
      <c r="M42" s="27">
        <f t="shared" si="16"/>
        <v>0</v>
      </c>
      <c r="N42" s="27">
        <f>SUM(N43:N49)</f>
        <v>236286</v>
      </c>
      <c r="O42" s="27">
        <f>SUM(O43:O49)</f>
        <v>146138</v>
      </c>
      <c r="P42" s="27">
        <f t="shared" si="17"/>
        <v>-90148</v>
      </c>
      <c r="Q42" s="27">
        <f>SUM(Q43:Q49)</f>
        <v>0</v>
      </c>
      <c r="R42" s="27">
        <f>SUM(R43:R49)</f>
        <v>0</v>
      </c>
      <c r="S42" s="27">
        <f t="shared" si="18"/>
        <v>0</v>
      </c>
      <c r="T42" s="27">
        <f>SUM(T43:T49)</f>
        <v>337685</v>
      </c>
      <c r="U42" s="27">
        <f>SUM(U43:U49)</f>
        <v>337685</v>
      </c>
      <c r="V42" s="27">
        <f t="shared" si="19"/>
        <v>0</v>
      </c>
      <c r="W42" s="27">
        <f>SUM(W43:W49)</f>
        <v>796966</v>
      </c>
      <c r="X42" s="27">
        <f>SUM(X43:X49)</f>
        <v>656200</v>
      </c>
      <c r="Y42" s="27">
        <f t="shared" si="20"/>
        <v>-140766</v>
      </c>
      <c r="Z42" s="27">
        <f>SUM(Z43:Z49)</f>
        <v>0</v>
      </c>
      <c r="AA42" s="27">
        <f>SUM(AA43:AA49)</f>
        <v>0</v>
      </c>
      <c r="AB42" s="27">
        <f t="shared" si="21"/>
        <v>0</v>
      </c>
      <c r="AC42" s="27">
        <f>SUM(AC43:AC49)</f>
        <v>741156</v>
      </c>
      <c r="AD42" s="27">
        <f>SUM(AD43:AD49)</f>
        <v>741156</v>
      </c>
      <c r="AE42" s="27">
        <f t="shared" si="22"/>
        <v>0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</row>
    <row r="43" spans="1:255" ht="31.5" x14ac:dyDescent="0.25">
      <c r="A43" s="44" t="s">
        <v>51</v>
      </c>
      <c r="B43" s="43" t="s">
        <v>46</v>
      </c>
      <c r="C43" s="40">
        <v>322</v>
      </c>
      <c r="D43" s="40">
        <v>5100</v>
      </c>
      <c r="E43" s="38">
        <f t="shared" si="0"/>
        <v>469216</v>
      </c>
      <c r="F43" s="38">
        <f t="shared" si="0"/>
        <v>351963</v>
      </c>
      <c r="G43" s="38">
        <f t="shared" si="0"/>
        <v>-117253</v>
      </c>
      <c r="H43" s="38">
        <v>0</v>
      </c>
      <c r="I43" s="38">
        <v>0</v>
      </c>
      <c r="J43" s="38">
        <f t="shared" si="1"/>
        <v>0</v>
      </c>
      <c r="K43" s="38">
        <v>0</v>
      </c>
      <c r="L43" s="38">
        <v>0</v>
      </c>
      <c r="M43" s="38">
        <f t="shared" si="16"/>
        <v>0</v>
      </c>
      <c r="N43" s="38">
        <v>0</v>
      </c>
      <c r="O43" s="38">
        <f>10244+13269</f>
        <v>23513</v>
      </c>
      <c r="P43" s="38">
        <f t="shared" si="17"/>
        <v>23513</v>
      </c>
      <c r="Q43" s="38">
        <v>0</v>
      </c>
      <c r="R43" s="38">
        <v>0</v>
      </c>
      <c r="S43" s="38">
        <f t="shared" si="18"/>
        <v>0</v>
      </c>
      <c r="T43" s="38">
        <v>0</v>
      </c>
      <c r="U43" s="38">
        <v>0</v>
      </c>
      <c r="V43" s="38">
        <f t="shared" si="19"/>
        <v>0</v>
      </c>
      <c r="W43" s="38">
        <v>386326</v>
      </c>
      <c r="X43" s="38">
        <f>386326-140766</f>
        <v>245560</v>
      </c>
      <c r="Y43" s="38">
        <f t="shared" si="20"/>
        <v>-140766</v>
      </c>
      <c r="Z43" s="38">
        <v>0</v>
      </c>
      <c r="AA43" s="38">
        <v>0</v>
      </c>
      <c r="AB43" s="38">
        <f t="shared" si="21"/>
        <v>0</v>
      </c>
      <c r="AC43" s="38">
        <v>82890</v>
      </c>
      <c r="AD43" s="38">
        <v>82890</v>
      </c>
      <c r="AE43" s="38">
        <f t="shared" si="22"/>
        <v>0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</row>
    <row r="44" spans="1:255" ht="31.5" x14ac:dyDescent="0.25">
      <c r="A44" s="44" t="s">
        <v>52</v>
      </c>
      <c r="B44" s="40"/>
      <c r="C44" s="40"/>
      <c r="D44" s="40"/>
      <c r="E44" s="38">
        <f t="shared" si="0"/>
        <v>100000</v>
      </c>
      <c r="F44" s="38">
        <f t="shared" si="0"/>
        <v>100000</v>
      </c>
      <c r="G44" s="38">
        <f t="shared" si="0"/>
        <v>0</v>
      </c>
      <c r="H44" s="38">
        <v>0</v>
      </c>
      <c r="I44" s="38">
        <v>0</v>
      </c>
      <c r="J44" s="38">
        <f t="shared" si="1"/>
        <v>0</v>
      </c>
      <c r="K44" s="38">
        <v>0</v>
      </c>
      <c r="L44" s="38">
        <v>0</v>
      </c>
      <c r="M44" s="38">
        <f t="shared" si="16"/>
        <v>0</v>
      </c>
      <c r="N44" s="38">
        <v>0</v>
      </c>
      <c r="O44" s="38">
        <v>0</v>
      </c>
      <c r="P44" s="38">
        <f t="shared" si="17"/>
        <v>0</v>
      </c>
      <c r="Q44" s="38">
        <v>0</v>
      </c>
      <c r="R44" s="38">
        <v>0</v>
      </c>
      <c r="S44" s="38">
        <f t="shared" si="18"/>
        <v>0</v>
      </c>
      <c r="T44" s="38">
        <v>0</v>
      </c>
      <c r="U44" s="38">
        <v>0</v>
      </c>
      <c r="V44" s="38">
        <f t="shared" si="19"/>
        <v>0</v>
      </c>
      <c r="W44" s="38">
        <v>0</v>
      </c>
      <c r="X44" s="38">
        <v>0</v>
      </c>
      <c r="Y44" s="38">
        <f t="shared" si="20"/>
        <v>0</v>
      </c>
      <c r="Z44" s="38">
        <v>0</v>
      </c>
      <c r="AA44" s="38">
        <v>0</v>
      </c>
      <c r="AB44" s="38">
        <f t="shared" si="21"/>
        <v>0</v>
      </c>
      <c r="AC44" s="38">
        <v>100000</v>
      </c>
      <c r="AD44" s="38">
        <v>100000</v>
      </c>
      <c r="AE44" s="38">
        <f t="shared" si="22"/>
        <v>0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</row>
    <row r="45" spans="1:255" ht="47.25" x14ac:dyDescent="0.25">
      <c r="A45" s="44" t="s">
        <v>53</v>
      </c>
      <c r="B45" s="40">
        <v>1</v>
      </c>
      <c r="C45" s="40">
        <v>322</v>
      </c>
      <c r="D45" s="40">
        <v>5100</v>
      </c>
      <c r="E45" s="38">
        <f t="shared" si="0"/>
        <v>99966</v>
      </c>
      <c r="F45" s="38">
        <f t="shared" si="0"/>
        <v>99966</v>
      </c>
      <c r="G45" s="38">
        <f t="shared" si="0"/>
        <v>0</v>
      </c>
      <c r="H45" s="38">
        <v>0</v>
      </c>
      <c r="I45" s="38">
        <v>0</v>
      </c>
      <c r="J45" s="38">
        <f t="shared" si="1"/>
        <v>0</v>
      </c>
      <c r="K45" s="38">
        <v>0</v>
      </c>
      <c r="L45" s="38">
        <v>0</v>
      </c>
      <c r="M45" s="38">
        <f t="shared" si="16"/>
        <v>0</v>
      </c>
      <c r="N45" s="38">
        <v>0</v>
      </c>
      <c r="O45" s="38">
        <v>0</v>
      </c>
      <c r="P45" s="38">
        <f t="shared" si="17"/>
        <v>0</v>
      </c>
      <c r="Q45" s="38">
        <v>0</v>
      </c>
      <c r="R45" s="38">
        <v>0</v>
      </c>
      <c r="S45" s="38">
        <f t="shared" si="18"/>
        <v>0</v>
      </c>
      <c r="T45" s="38">
        <v>0</v>
      </c>
      <c r="U45" s="38">
        <v>0</v>
      </c>
      <c r="V45" s="38">
        <f t="shared" si="19"/>
        <v>0</v>
      </c>
      <c r="W45" s="38">
        <v>99966</v>
      </c>
      <c r="X45" s="38">
        <v>99966</v>
      </c>
      <c r="Y45" s="38">
        <f t="shared" si="20"/>
        <v>0</v>
      </c>
      <c r="Z45" s="38">
        <v>0</v>
      </c>
      <c r="AA45" s="38">
        <v>0</v>
      </c>
      <c r="AB45" s="38">
        <f t="shared" si="21"/>
        <v>0</v>
      </c>
      <c r="AC45" s="38">
        <v>0</v>
      </c>
      <c r="AD45" s="38">
        <v>0</v>
      </c>
      <c r="AE45" s="38">
        <f t="shared" si="22"/>
        <v>0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</row>
    <row r="46" spans="1:255" ht="47.25" x14ac:dyDescent="0.25">
      <c r="A46" s="44" t="s">
        <v>54</v>
      </c>
      <c r="B46" s="40" t="s">
        <v>46</v>
      </c>
      <c r="C46" s="40">
        <v>322</v>
      </c>
      <c r="D46" s="40">
        <v>5100</v>
      </c>
      <c r="E46" s="38">
        <f t="shared" si="0"/>
        <v>93593</v>
      </c>
      <c r="F46" s="38">
        <f t="shared" si="0"/>
        <v>93932</v>
      </c>
      <c r="G46" s="38">
        <f t="shared" si="0"/>
        <v>339</v>
      </c>
      <c r="H46" s="38">
        <v>0</v>
      </c>
      <c r="I46" s="38">
        <v>0</v>
      </c>
      <c r="J46" s="38">
        <f t="shared" si="1"/>
        <v>0</v>
      </c>
      <c r="K46" s="38">
        <v>0</v>
      </c>
      <c r="L46" s="38">
        <v>0</v>
      </c>
      <c r="M46" s="38">
        <f t="shared" si="16"/>
        <v>0</v>
      </c>
      <c r="N46" s="38">
        <v>0</v>
      </c>
      <c r="O46" s="38">
        <v>339</v>
      </c>
      <c r="P46" s="38">
        <f t="shared" si="17"/>
        <v>339</v>
      </c>
      <c r="Q46" s="38">
        <v>0</v>
      </c>
      <c r="R46" s="38">
        <v>0</v>
      </c>
      <c r="S46" s="38">
        <f t="shared" si="18"/>
        <v>0</v>
      </c>
      <c r="T46" s="38">
        <v>0</v>
      </c>
      <c r="U46" s="38">
        <v>0</v>
      </c>
      <c r="V46" s="38">
        <f t="shared" si="19"/>
        <v>0</v>
      </c>
      <c r="W46" s="38">
        <v>93593</v>
      </c>
      <c r="X46" s="38">
        <v>93593</v>
      </c>
      <c r="Y46" s="38">
        <f t="shared" si="20"/>
        <v>0</v>
      </c>
      <c r="Z46" s="38">
        <v>0</v>
      </c>
      <c r="AA46" s="38">
        <v>0</v>
      </c>
      <c r="AB46" s="38">
        <f t="shared" si="21"/>
        <v>0</v>
      </c>
      <c r="AC46" s="38">
        <v>0</v>
      </c>
      <c r="AD46" s="38">
        <v>0</v>
      </c>
      <c r="AE46" s="38">
        <f t="shared" si="22"/>
        <v>0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</row>
    <row r="47" spans="1:255" ht="31.5" x14ac:dyDescent="0.25">
      <c r="A47" s="44" t="s">
        <v>55</v>
      </c>
      <c r="B47" s="40">
        <v>3</v>
      </c>
      <c r="C47" s="40">
        <v>324</v>
      </c>
      <c r="D47" s="40">
        <v>5100</v>
      </c>
      <c r="E47" s="38">
        <f t="shared" si="0"/>
        <v>219312</v>
      </c>
      <c r="F47" s="38">
        <f t="shared" si="0"/>
        <v>219312</v>
      </c>
      <c r="G47" s="38">
        <f t="shared" si="0"/>
        <v>0</v>
      </c>
      <c r="H47" s="38">
        <v>0</v>
      </c>
      <c r="I47" s="38">
        <v>0</v>
      </c>
      <c r="J47" s="38">
        <f t="shared" si="1"/>
        <v>0</v>
      </c>
      <c r="K47" s="38">
        <v>0</v>
      </c>
      <c r="L47" s="38">
        <v>0</v>
      </c>
      <c r="M47" s="38">
        <f t="shared" si="16"/>
        <v>0</v>
      </c>
      <c r="N47" s="38">
        <v>0</v>
      </c>
      <c r="O47" s="38">
        <v>0</v>
      </c>
      <c r="P47" s="38">
        <f t="shared" si="17"/>
        <v>0</v>
      </c>
      <c r="Q47" s="38">
        <v>0</v>
      </c>
      <c r="R47" s="38">
        <v>0</v>
      </c>
      <c r="S47" s="38">
        <f t="shared" si="18"/>
        <v>0</v>
      </c>
      <c r="T47" s="38">
        <v>0</v>
      </c>
      <c r="U47" s="38">
        <v>0</v>
      </c>
      <c r="V47" s="38">
        <f t="shared" si="19"/>
        <v>0</v>
      </c>
      <c r="W47" s="38">
        <v>199312</v>
      </c>
      <c r="X47" s="38">
        <v>199312</v>
      </c>
      <c r="Y47" s="38">
        <f t="shared" si="20"/>
        <v>0</v>
      </c>
      <c r="Z47" s="38">
        <v>0</v>
      </c>
      <c r="AA47" s="38">
        <v>0</v>
      </c>
      <c r="AB47" s="38">
        <f t="shared" si="21"/>
        <v>0</v>
      </c>
      <c r="AC47" s="38">
        <v>20000</v>
      </c>
      <c r="AD47" s="38">
        <v>20000</v>
      </c>
      <c r="AE47" s="38">
        <f t="shared" si="22"/>
        <v>0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</row>
    <row r="48" spans="1:255" ht="63" x14ac:dyDescent="0.25">
      <c r="A48" s="44" t="s">
        <v>56</v>
      </c>
      <c r="B48" s="40" t="s">
        <v>46</v>
      </c>
      <c r="C48" s="40">
        <v>322</v>
      </c>
      <c r="D48" s="40">
        <v>5100</v>
      </c>
      <c r="E48" s="38">
        <f t="shared" si="0"/>
        <v>1076096</v>
      </c>
      <c r="F48" s="38">
        <f t="shared" si="0"/>
        <v>1076096</v>
      </c>
      <c r="G48" s="38">
        <f t="shared" si="0"/>
        <v>0</v>
      </c>
      <c r="H48" s="38">
        <v>0</v>
      </c>
      <c r="I48" s="38">
        <f>114000</f>
        <v>114000</v>
      </c>
      <c r="J48" s="38">
        <f t="shared" si="1"/>
        <v>114000</v>
      </c>
      <c r="K48" s="38">
        <v>0</v>
      </c>
      <c r="L48" s="38">
        <v>0</v>
      </c>
      <c r="M48" s="38">
        <f t="shared" si="16"/>
        <v>0</v>
      </c>
      <c r="N48" s="38">
        <f>108786+114000</f>
        <v>222786</v>
      </c>
      <c r="O48" s="38">
        <f>108786+114000-114000</f>
        <v>108786</v>
      </c>
      <c r="P48" s="38">
        <f t="shared" si="17"/>
        <v>-114000</v>
      </c>
      <c r="Q48" s="38">
        <v>0</v>
      </c>
      <c r="R48" s="38">
        <v>0</v>
      </c>
      <c r="S48" s="38">
        <f t="shared" si="18"/>
        <v>0</v>
      </c>
      <c r="T48" s="38">
        <v>297275</v>
      </c>
      <c r="U48" s="38">
        <v>297275</v>
      </c>
      <c r="V48" s="38">
        <f t="shared" si="19"/>
        <v>0</v>
      </c>
      <c r="W48" s="38">
        <v>17769</v>
      </c>
      <c r="X48" s="38">
        <v>17769</v>
      </c>
      <c r="Y48" s="38">
        <f t="shared" si="20"/>
        <v>0</v>
      </c>
      <c r="Z48" s="38">
        <v>0</v>
      </c>
      <c r="AA48" s="38">
        <v>0</v>
      </c>
      <c r="AB48" s="38">
        <f t="shared" si="21"/>
        <v>0</v>
      </c>
      <c r="AC48" s="38">
        <f>647052-108786</f>
        <v>538266</v>
      </c>
      <c r="AD48" s="38">
        <f>647052-108786</f>
        <v>538266</v>
      </c>
      <c r="AE48" s="38">
        <f t="shared" si="22"/>
        <v>0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</row>
    <row r="49" spans="1:255" ht="31.5" x14ac:dyDescent="0.25">
      <c r="A49" s="44" t="s">
        <v>57</v>
      </c>
      <c r="B49" s="40">
        <v>1</v>
      </c>
      <c r="C49" s="40">
        <v>322</v>
      </c>
      <c r="D49" s="40">
        <v>5100</v>
      </c>
      <c r="E49" s="38">
        <f t="shared" si="0"/>
        <v>53910</v>
      </c>
      <c r="F49" s="38">
        <f t="shared" si="0"/>
        <v>53910</v>
      </c>
      <c r="G49" s="38">
        <f t="shared" si="0"/>
        <v>0</v>
      </c>
      <c r="H49" s="38">
        <v>0</v>
      </c>
      <c r="I49" s="38">
        <v>0</v>
      </c>
      <c r="J49" s="38">
        <f t="shared" si="1"/>
        <v>0</v>
      </c>
      <c r="K49" s="38">
        <v>0</v>
      </c>
      <c r="L49" s="38">
        <v>0</v>
      </c>
      <c r="M49" s="38">
        <f t="shared" si="16"/>
        <v>0</v>
      </c>
      <c r="N49" s="38">
        <v>13500</v>
      </c>
      <c r="O49" s="38">
        <v>13500</v>
      </c>
      <c r="P49" s="38">
        <f t="shared" si="17"/>
        <v>0</v>
      </c>
      <c r="Q49" s="38">
        <v>0</v>
      </c>
      <c r="R49" s="38">
        <v>0</v>
      </c>
      <c r="S49" s="38">
        <f t="shared" si="18"/>
        <v>0</v>
      </c>
      <c r="T49" s="38">
        <v>40410</v>
      </c>
      <c r="U49" s="38">
        <v>40410</v>
      </c>
      <c r="V49" s="38">
        <f t="shared" si="19"/>
        <v>0</v>
      </c>
      <c r="W49" s="38">
        <v>0</v>
      </c>
      <c r="X49" s="38">
        <v>0</v>
      </c>
      <c r="Y49" s="38">
        <f t="shared" si="20"/>
        <v>0</v>
      </c>
      <c r="Z49" s="38">
        <v>0</v>
      </c>
      <c r="AA49" s="38">
        <v>0</v>
      </c>
      <c r="AB49" s="38">
        <f t="shared" si="21"/>
        <v>0</v>
      </c>
      <c r="AC49" s="38">
        <v>0</v>
      </c>
      <c r="AD49" s="38">
        <v>0</v>
      </c>
      <c r="AE49" s="38">
        <f t="shared" si="22"/>
        <v>0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</row>
    <row r="50" spans="1:255" x14ac:dyDescent="0.25">
      <c r="A50" s="26" t="s">
        <v>58</v>
      </c>
      <c r="B50" s="34"/>
      <c r="C50" s="34"/>
      <c r="D50" s="40">
        <v>5100</v>
      </c>
      <c r="E50" s="27">
        <f t="shared" si="0"/>
        <v>832917</v>
      </c>
      <c r="F50" s="27">
        <f t="shared" si="0"/>
        <v>832917</v>
      </c>
      <c r="G50" s="27">
        <f t="shared" si="0"/>
        <v>0</v>
      </c>
      <c r="H50" s="27">
        <f>SUM(H51)</f>
        <v>0</v>
      </c>
      <c r="I50" s="27">
        <f>SUM(I51)</f>
        <v>0</v>
      </c>
      <c r="J50" s="27">
        <f t="shared" si="1"/>
        <v>0</v>
      </c>
      <c r="K50" s="27">
        <f>SUM(K51)</f>
        <v>0</v>
      </c>
      <c r="L50" s="27">
        <f>SUM(L51)</f>
        <v>0</v>
      </c>
      <c r="M50" s="27">
        <f t="shared" si="16"/>
        <v>0</v>
      </c>
      <c r="N50" s="27">
        <f>SUM(N51)</f>
        <v>0</v>
      </c>
      <c r="O50" s="27">
        <f>SUM(O51)</f>
        <v>0</v>
      </c>
      <c r="P50" s="27">
        <f t="shared" si="17"/>
        <v>0</v>
      </c>
      <c r="Q50" s="27">
        <f>SUM(Q51)</f>
        <v>0</v>
      </c>
      <c r="R50" s="27">
        <f>SUM(R51)</f>
        <v>0</v>
      </c>
      <c r="S50" s="27">
        <f t="shared" si="18"/>
        <v>0</v>
      </c>
      <c r="T50" s="27">
        <f>SUM(T51)</f>
        <v>797917</v>
      </c>
      <c r="U50" s="27">
        <f>SUM(U51)</f>
        <v>797917</v>
      </c>
      <c r="V50" s="27">
        <f t="shared" si="19"/>
        <v>0</v>
      </c>
      <c r="W50" s="27">
        <f>SUM(W51)</f>
        <v>0</v>
      </c>
      <c r="X50" s="27">
        <f>SUM(X51)</f>
        <v>0</v>
      </c>
      <c r="Y50" s="27">
        <f t="shared" si="20"/>
        <v>0</v>
      </c>
      <c r="Z50" s="27">
        <f>SUM(Z51)</f>
        <v>0</v>
      </c>
      <c r="AA50" s="27">
        <f>SUM(AA51)</f>
        <v>0</v>
      </c>
      <c r="AB50" s="27">
        <f t="shared" si="21"/>
        <v>0</v>
      </c>
      <c r="AC50" s="27">
        <f>SUM(AC51)</f>
        <v>35000</v>
      </c>
      <c r="AD50" s="27">
        <f>SUM(AD51)</f>
        <v>35000</v>
      </c>
      <c r="AE50" s="27">
        <f t="shared" si="22"/>
        <v>0</v>
      </c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</row>
    <row r="51" spans="1:255" x14ac:dyDescent="0.25">
      <c r="A51" s="26" t="s">
        <v>20</v>
      </c>
      <c r="B51" s="34"/>
      <c r="C51" s="34"/>
      <c r="D51" s="40">
        <v>5100</v>
      </c>
      <c r="E51" s="27">
        <f t="shared" si="0"/>
        <v>832917</v>
      </c>
      <c r="F51" s="27">
        <f t="shared" si="0"/>
        <v>832917</v>
      </c>
      <c r="G51" s="27">
        <f t="shared" si="0"/>
        <v>0</v>
      </c>
      <c r="H51" s="27">
        <f>SUM(H52:H61)</f>
        <v>0</v>
      </c>
      <c r="I51" s="27">
        <f>SUM(I52:I61)</f>
        <v>0</v>
      </c>
      <c r="J51" s="27">
        <f t="shared" si="1"/>
        <v>0</v>
      </c>
      <c r="K51" s="27">
        <f>SUM(K52:K61)</f>
        <v>0</v>
      </c>
      <c r="L51" s="27">
        <f>SUM(L52:L61)</f>
        <v>0</v>
      </c>
      <c r="M51" s="27">
        <f t="shared" si="16"/>
        <v>0</v>
      </c>
      <c r="N51" s="27">
        <f>SUM(N52:N61)</f>
        <v>0</v>
      </c>
      <c r="O51" s="27">
        <f>SUM(O52:O61)</f>
        <v>0</v>
      </c>
      <c r="P51" s="27">
        <f t="shared" si="17"/>
        <v>0</v>
      </c>
      <c r="Q51" s="27">
        <f>SUM(Q52:Q61)</f>
        <v>0</v>
      </c>
      <c r="R51" s="27">
        <f>SUM(R52:R61)</f>
        <v>0</v>
      </c>
      <c r="S51" s="27">
        <f t="shared" si="18"/>
        <v>0</v>
      </c>
      <c r="T51" s="27">
        <f>SUM(T52:T61)</f>
        <v>797917</v>
      </c>
      <c r="U51" s="27">
        <f>SUM(U52:U61)</f>
        <v>797917</v>
      </c>
      <c r="V51" s="27">
        <f t="shared" si="19"/>
        <v>0</v>
      </c>
      <c r="W51" s="27">
        <f>SUM(W52:W61)</f>
        <v>0</v>
      </c>
      <c r="X51" s="27">
        <f>SUM(X52:X61)</f>
        <v>0</v>
      </c>
      <c r="Y51" s="27">
        <f t="shared" si="20"/>
        <v>0</v>
      </c>
      <c r="Z51" s="27">
        <f>SUM(Z52:Z61)</f>
        <v>0</v>
      </c>
      <c r="AA51" s="27">
        <f>SUM(AA52:AA61)</f>
        <v>0</v>
      </c>
      <c r="AB51" s="27">
        <f t="shared" si="21"/>
        <v>0</v>
      </c>
      <c r="AC51" s="27">
        <f>SUM(AC52:AC61)</f>
        <v>35000</v>
      </c>
      <c r="AD51" s="27">
        <f>SUM(AD52:AD61)</f>
        <v>35000</v>
      </c>
      <c r="AE51" s="27">
        <f t="shared" si="22"/>
        <v>0</v>
      </c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</row>
    <row r="52" spans="1:255" x14ac:dyDescent="0.25">
      <c r="A52" s="35" t="s">
        <v>59</v>
      </c>
      <c r="B52" s="40">
        <v>1</v>
      </c>
      <c r="C52" s="40">
        <v>469</v>
      </c>
      <c r="D52" s="40">
        <v>5100</v>
      </c>
      <c r="E52" s="38">
        <f t="shared" si="0"/>
        <v>218000</v>
      </c>
      <c r="F52" s="38">
        <f t="shared" si="0"/>
        <v>218000</v>
      </c>
      <c r="G52" s="38">
        <f t="shared" si="0"/>
        <v>0</v>
      </c>
      <c r="H52" s="38">
        <v>0</v>
      </c>
      <c r="I52" s="38">
        <v>0</v>
      </c>
      <c r="J52" s="38">
        <f t="shared" si="1"/>
        <v>0</v>
      </c>
      <c r="K52" s="38">
        <v>0</v>
      </c>
      <c r="L52" s="38">
        <v>0</v>
      </c>
      <c r="M52" s="38">
        <f t="shared" si="16"/>
        <v>0</v>
      </c>
      <c r="N52" s="38">
        <v>0</v>
      </c>
      <c r="O52" s="38">
        <v>0</v>
      </c>
      <c r="P52" s="38">
        <f t="shared" si="17"/>
        <v>0</v>
      </c>
      <c r="Q52" s="38">
        <v>0</v>
      </c>
      <c r="R52" s="38">
        <v>0</v>
      </c>
      <c r="S52" s="38">
        <f t="shared" si="18"/>
        <v>0</v>
      </c>
      <c r="T52" s="38">
        <f>183000</f>
        <v>183000</v>
      </c>
      <c r="U52" s="38">
        <f>183000</f>
        <v>183000</v>
      </c>
      <c r="V52" s="38">
        <f t="shared" si="19"/>
        <v>0</v>
      </c>
      <c r="W52" s="38">
        <v>0</v>
      </c>
      <c r="X52" s="38">
        <v>0</v>
      </c>
      <c r="Y52" s="38">
        <f t="shared" si="20"/>
        <v>0</v>
      </c>
      <c r="Z52" s="38">
        <v>0</v>
      </c>
      <c r="AA52" s="38">
        <v>0</v>
      </c>
      <c r="AB52" s="38">
        <f t="shared" si="21"/>
        <v>0</v>
      </c>
      <c r="AC52" s="38">
        <f>218000-183000</f>
        <v>35000</v>
      </c>
      <c r="AD52" s="38">
        <f>218000-183000</f>
        <v>35000</v>
      </c>
      <c r="AE52" s="38">
        <f t="shared" si="22"/>
        <v>0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</row>
    <row r="53" spans="1:255" ht="31.5" x14ac:dyDescent="0.25">
      <c r="A53" s="35" t="s">
        <v>60</v>
      </c>
      <c r="B53" s="40">
        <v>1</v>
      </c>
      <c r="C53" s="40">
        <v>431</v>
      </c>
      <c r="D53" s="40">
        <v>5100</v>
      </c>
      <c r="E53" s="38">
        <f t="shared" si="0"/>
        <v>38676</v>
      </c>
      <c r="F53" s="38">
        <f t="shared" si="0"/>
        <v>38676</v>
      </c>
      <c r="G53" s="38">
        <f t="shared" si="0"/>
        <v>0</v>
      </c>
      <c r="H53" s="38">
        <v>0</v>
      </c>
      <c r="I53" s="38">
        <v>0</v>
      </c>
      <c r="J53" s="38">
        <f t="shared" si="1"/>
        <v>0</v>
      </c>
      <c r="K53" s="38">
        <v>0</v>
      </c>
      <c r="L53" s="38">
        <v>0</v>
      </c>
      <c r="M53" s="38">
        <f t="shared" si="16"/>
        <v>0</v>
      </c>
      <c r="N53" s="38"/>
      <c r="O53" s="38"/>
      <c r="P53" s="38">
        <f t="shared" si="17"/>
        <v>0</v>
      </c>
      <c r="Q53" s="38">
        <v>0</v>
      </c>
      <c r="R53" s="38">
        <v>0</v>
      </c>
      <c r="S53" s="38">
        <f t="shared" si="18"/>
        <v>0</v>
      </c>
      <c r="T53" s="38">
        <v>38676</v>
      </c>
      <c r="U53" s="38">
        <v>38676</v>
      </c>
      <c r="V53" s="38">
        <f t="shared" si="19"/>
        <v>0</v>
      </c>
      <c r="W53" s="38">
        <v>0</v>
      </c>
      <c r="X53" s="38">
        <v>0</v>
      </c>
      <c r="Y53" s="38">
        <f t="shared" si="20"/>
        <v>0</v>
      </c>
      <c r="Z53" s="38">
        <v>0</v>
      </c>
      <c r="AA53" s="38">
        <v>0</v>
      </c>
      <c r="AB53" s="38">
        <f t="shared" si="21"/>
        <v>0</v>
      </c>
      <c r="AC53" s="38">
        <v>0</v>
      </c>
      <c r="AD53" s="38">
        <v>0</v>
      </c>
      <c r="AE53" s="38">
        <f t="shared" si="22"/>
        <v>0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</row>
    <row r="54" spans="1:255" ht="31.5" x14ac:dyDescent="0.25">
      <c r="A54" s="35" t="s">
        <v>61</v>
      </c>
      <c r="B54" s="40">
        <v>1</v>
      </c>
      <c r="C54" s="40">
        <v>431</v>
      </c>
      <c r="D54" s="40">
        <v>5100</v>
      </c>
      <c r="E54" s="38">
        <f t="shared" si="0"/>
        <v>17746</v>
      </c>
      <c r="F54" s="38">
        <f t="shared" si="0"/>
        <v>17746</v>
      </c>
      <c r="G54" s="38">
        <f t="shared" si="0"/>
        <v>0</v>
      </c>
      <c r="H54" s="38">
        <v>0</v>
      </c>
      <c r="I54" s="38">
        <v>0</v>
      </c>
      <c r="J54" s="38">
        <f t="shared" si="1"/>
        <v>0</v>
      </c>
      <c r="K54" s="38">
        <v>0</v>
      </c>
      <c r="L54" s="38">
        <v>0</v>
      </c>
      <c r="M54" s="38">
        <f t="shared" si="16"/>
        <v>0</v>
      </c>
      <c r="N54" s="38"/>
      <c r="O54" s="38"/>
      <c r="P54" s="38">
        <f t="shared" si="17"/>
        <v>0</v>
      </c>
      <c r="Q54" s="38">
        <v>0</v>
      </c>
      <c r="R54" s="38">
        <v>0</v>
      </c>
      <c r="S54" s="38">
        <f t="shared" si="18"/>
        <v>0</v>
      </c>
      <c r="T54" s="38">
        <v>17746</v>
      </c>
      <c r="U54" s="38">
        <v>17746</v>
      </c>
      <c r="V54" s="38">
        <f t="shared" si="19"/>
        <v>0</v>
      </c>
      <c r="W54" s="38">
        <v>0</v>
      </c>
      <c r="X54" s="38">
        <v>0</v>
      </c>
      <c r="Y54" s="38">
        <f t="shared" si="20"/>
        <v>0</v>
      </c>
      <c r="Z54" s="38">
        <v>0</v>
      </c>
      <c r="AA54" s="38">
        <v>0</v>
      </c>
      <c r="AB54" s="38">
        <f t="shared" si="21"/>
        <v>0</v>
      </c>
      <c r="AC54" s="38">
        <v>0</v>
      </c>
      <c r="AD54" s="38">
        <v>0</v>
      </c>
      <c r="AE54" s="38">
        <f t="shared" si="22"/>
        <v>0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</row>
    <row r="55" spans="1:255" ht="31.5" x14ac:dyDescent="0.25">
      <c r="A55" s="35" t="s">
        <v>62</v>
      </c>
      <c r="B55" s="40">
        <v>1</v>
      </c>
      <c r="C55" s="40">
        <v>431</v>
      </c>
      <c r="D55" s="40">
        <v>5100</v>
      </c>
      <c r="E55" s="38">
        <f t="shared" si="0"/>
        <v>11677</v>
      </c>
      <c r="F55" s="38">
        <f t="shared" si="0"/>
        <v>11677</v>
      </c>
      <c r="G55" s="38">
        <f t="shared" si="0"/>
        <v>0</v>
      </c>
      <c r="H55" s="38">
        <v>0</v>
      </c>
      <c r="I55" s="38">
        <v>0</v>
      </c>
      <c r="J55" s="38">
        <f t="shared" si="1"/>
        <v>0</v>
      </c>
      <c r="K55" s="38">
        <v>0</v>
      </c>
      <c r="L55" s="38">
        <v>0</v>
      </c>
      <c r="M55" s="38">
        <f t="shared" si="16"/>
        <v>0</v>
      </c>
      <c r="N55" s="38"/>
      <c r="O55" s="38"/>
      <c r="P55" s="38">
        <f t="shared" si="17"/>
        <v>0</v>
      </c>
      <c r="Q55" s="38">
        <v>0</v>
      </c>
      <c r="R55" s="38">
        <v>0</v>
      </c>
      <c r="S55" s="38">
        <f t="shared" si="18"/>
        <v>0</v>
      </c>
      <c r="T55" s="38">
        <v>11677</v>
      </c>
      <c r="U55" s="38">
        <v>11677</v>
      </c>
      <c r="V55" s="38">
        <f t="shared" si="19"/>
        <v>0</v>
      </c>
      <c r="W55" s="38">
        <v>0</v>
      </c>
      <c r="X55" s="38">
        <v>0</v>
      </c>
      <c r="Y55" s="38">
        <f t="shared" si="20"/>
        <v>0</v>
      </c>
      <c r="Z55" s="38">
        <v>0</v>
      </c>
      <c r="AA55" s="38">
        <v>0</v>
      </c>
      <c r="AB55" s="38">
        <f t="shared" si="21"/>
        <v>0</v>
      </c>
      <c r="AC55" s="38">
        <v>0</v>
      </c>
      <c r="AD55" s="38">
        <v>0</v>
      </c>
      <c r="AE55" s="38">
        <f t="shared" si="22"/>
        <v>0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</row>
    <row r="56" spans="1:255" ht="31.5" x14ac:dyDescent="0.25">
      <c r="A56" s="35" t="s">
        <v>63</v>
      </c>
      <c r="B56" s="40">
        <v>1</v>
      </c>
      <c r="C56" s="40">
        <v>431</v>
      </c>
      <c r="D56" s="40">
        <v>5100</v>
      </c>
      <c r="E56" s="38">
        <f t="shared" si="0"/>
        <v>22787</v>
      </c>
      <c r="F56" s="38">
        <f t="shared" si="0"/>
        <v>22787</v>
      </c>
      <c r="G56" s="38">
        <f t="shared" si="0"/>
        <v>0</v>
      </c>
      <c r="H56" s="38">
        <v>0</v>
      </c>
      <c r="I56" s="38">
        <v>0</v>
      </c>
      <c r="J56" s="38">
        <f t="shared" si="1"/>
        <v>0</v>
      </c>
      <c r="K56" s="38">
        <v>0</v>
      </c>
      <c r="L56" s="38">
        <v>0</v>
      </c>
      <c r="M56" s="38">
        <f t="shared" si="16"/>
        <v>0</v>
      </c>
      <c r="N56" s="38"/>
      <c r="O56" s="38"/>
      <c r="P56" s="38">
        <f t="shared" si="17"/>
        <v>0</v>
      </c>
      <c r="Q56" s="38">
        <v>0</v>
      </c>
      <c r="R56" s="38">
        <v>0</v>
      </c>
      <c r="S56" s="38">
        <f t="shared" si="18"/>
        <v>0</v>
      </c>
      <c r="T56" s="38">
        <v>22787</v>
      </c>
      <c r="U56" s="38">
        <v>22787</v>
      </c>
      <c r="V56" s="38">
        <f t="shared" si="19"/>
        <v>0</v>
      </c>
      <c r="W56" s="38">
        <v>0</v>
      </c>
      <c r="X56" s="38">
        <v>0</v>
      </c>
      <c r="Y56" s="38">
        <f t="shared" si="20"/>
        <v>0</v>
      </c>
      <c r="Z56" s="38">
        <v>0</v>
      </c>
      <c r="AA56" s="38">
        <v>0</v>
      </c>
      <c r="AB56" s="38">
        <f t="shared" si="21"/>
        <v>0</v>
      </c>
      <c r="AC56" s="38">
        <v>0</v>
      </c>
      <c r="AD56" s="38">
        <v>0</v>
      </c>
      <c r="AE56" s="38">
        <f t="shared" si="22"/>
        <v>0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</row>
    <row r="57" spans="1:255" ht="47.25" x14ac:dyDescent="0.25">
      <c r="A57" s="35" t="s">
        <v>64</v>
      </c>
      <c r="B57" s="40">
        <v>1</v>
      </c>
      <c r="C57" s="40">
        <v>431</v>
      </c>
      <c r="D57" s="40">
        <v>5100</v>
      </c>
      <c r="E57" s="38">
        <f t="shared" si="0"/>
        <v>12030</v>
      </c>
      <c r="F57" s="38">
        <f t="shared" si="0"/>
        <v>12030</v>
      </c>
      <c r="G57" s="38">
        <f t="shared" si="0"/>
        <v>0</v>
      </c>
      <c r="H57" s="38">
        <v>0</v>
      </c>
      <c r="I57" s="38">
        <v>0</v>
      </c>
      <c r="J57" s="38">
        <f t="shared" si="1"/>
        <v>0</v>
      </c>
      <c r="K57" s="38">
        <v>0</v>
      </c>
      <c r="L57" s="38">
        <v>0</v>
      </c>
      <c r="M57" s="38">
        <f t="shared" si="16"/>
        <v>0</v>
      </c>
      <c r="N57" s="38"/>
      <c r="O57" s="38"/>
      <c r="P57" s="38">
        <f t="shared" si="17"/>
        <v>0</v>
      </c>
      <c r="Q57" s="38">
        <v>0</v>
      </c>
      <c r="R57" s="38">
        <v>0</v>
      </c>
      <c r="S57" s="38">
        <f t="shared" si="18"/>
        <v>0</v>
      </c>
      <c r="T57" s="38">
        <v>12030</v>
      </c>
      <c r="U57" s="38">
        <v>12030</v>
      </c>
      <c r="V57" s="38">
        <f t="shared" si="19"/>
        <v>0</v>
      </c>
      <c r="W57" s="38">
        <v>0</v>
      </c>
      <c r="X57" s="38">
        <v>0</v>
      </c>
      <c r="Y57" s="38">
        <f t="shared" si="20"/>
        <v>0</v>
      </c>
      <c r="Z57" s="38">
        <v>0</v>
      </c>
      <c r="AA57" s="38">
        <v>0</v>
      </c>
      <c r="AB57" s="38">
        <f t="shared" si="21"/>
        <v>0</v>
      </c>
      <c r="AC57" s="38">
        <v>0</v>
      </c>
      <c r="AD57" s="38">
        <v>0</v>
      </c>
      <c r="AE57" s="38">
        <f t="shared" si="22"/>
        <v>0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</row>
    <row r="58" spans="1:255" ht="31.5" x14ac:dyDescent="0.25">
      <c r="A58" s="35" t="s">
        <v>65</v>
      </c>
      <c r="B58" s="40">
        <v>1</v>
      </c>
      <c r="C58" s="40">
        <v>437</v>
      </c>
      <c r="D58" s="40">
        <v>5100</v>
      </c>
      <c r="E58" s="38">
        <f t="shared" si="0"/>
        <v>15695</v>
      </c>
      <c r="F58" s="38">
        <f t="shared" si="0"/>
        <v>15695</v>
      </c>
      <c r="G58" s="38">
        <f t="shared" si="0"/>
        <v>0</v>
      </c>
      <c r="H58" s="38">
        <v>0</v>
      </c>
      <c r="I58" s="38">
        <v>0</v>
      </c>
      <c r="J58" s="38">
        <f t="shared" si="1"/>
        <v>0</v>
      </c>
      <c r="K58" s="38">
        <v>0</v>
      </c>
      <c r="L58" s="38">
        <v>0</v>
      </c>
      <c r="M58" s="38">
        <f t="shared" si="16"/>
        <v>0</v>
      </c>
      <c r="N58" s="38"/>
      <c r="O58" s="38"/>
      <c r="P58" s="38">
        <f t="shared" si="17"/>
        <v>0</v>
      </c>
      <c r="Q58" s="38">
        <v>0</v>
      </c>
      <c r="R58" s="38">
        <v>0</v>
      </c>
      <c r="S58" s="38">
        <f t="shared" si="18"/>
        <v>0</v>
      </c>
      <c r="T58" s="38">
        <v>15695</v>
      </c>
      <c r="U58" s="38">
        <v>15695</v>
      </c>
      <c r="V58" s="38">
        <f t="shared" si="19"/>
        <v>0</v>
      </c>
      <c r="W58" s="38">
        <v>0</v>
      </c>
      <c r="X58" s="38">
        <v>0</v>
      </c>
      <c r="Y58" s="38">
        <f t="shared" si="20"/>
        <v>0</v>
      </c>
      <c r="Z58" s="38">
        <v>0</v>
      </c>
      <c r="AA58" s="38">
        <v>0</v>
      </c>
      <c r="AB58" s="38">
        <f t="shared" si="21"/>
        <v>0</v>
      </c>
      <c r="AC58" s="38">
        <v>0</v>
      </c>
      <c r="AD58" s="38">
        <v>0</v>
      </c>
      <c r="AE58" s="38">
        <f t="shared" si="22"/>
        <v>0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</row>
    <row r="59" spans="1:255" ht="47.25" x14ac:dyDescent="0.25">
      <c r="A59" s="35" t="s">
        <v>66</v>
      </c>
      <c r="B59" s="40">
        <v>1</v>
      </c>
      <c r="C59" s="40">
        <v>431</v>
      </c>
      <c r="D59" s="40">
        <v>5100</v>
      </c>
      <c r="E59" s="38">
        <f t="shared" si="0"/>
        <v>16218</v>
      </c>
      <c r="F59" s="38">
        <f t="shared" si="0"/>
        <v>16218</v>
      </c>
      <c r="G59" s="38">
        <f t="shared" si="0"/>
        <v>0</v>
      </c>
      <c r="H59" s="38">
        <v>0</v>
      </c>
      <c r="I59" s="38">
        <v>0</v>
      </c>
      <c r="J59" s="38">
        <f t="shared" si="1"/>
        <v>0</v>
      </c>
      <c r="K59" s="38">
        <v>0</v>
      </c>
      <c r="L59" s="38">
        <v>0</v>
      </c>
      <c r="M59" s="38">
        <f t="shared" si="16"/>
        <v>0</v>
      </c>
      <c r="N59" s="38"/>
      <c r="O59" s="38"/>
      <c r="P59" s="38">
        <f t="shared" si="17"/>
        <v>0</v>
      </c>
      <c r="Q59" s="38">
        <v>0</v>
      </c>
      <c r="R59" s="38">
        <v>0</v>
      </c>
      <c r="S59" s="38">
        <f t="shared" si="18"/>
        <v>0</v>
      </c>
      <c r="T59" s="38">
        <v>16218</v>
      </c>
      <c r="U59" s="38">
        <v>16218</v>
      </c>
      <c r="V59" s="38">
        <f t="shared" si="19"/>
        <v>0</v>
      </c>
      <c r="W59" s="38">
        <v>0</v>
      </c>
      <c r="X59" s="38">
        <v>0</v>
      </c>
      <c r="Y59" s="38">
        <f t="shared" si="20"/>
        <v>0</v>
      </c>
      <c r="Z59" s="38">
        <v>0</v>
      </c>
      <c r="AA59" s="38">
        <v>0</v>
      </c>
      <c r="AB59" s="38">
        <f t="shared" si="21"/>
        <v>0</v>
      </c>
      <c r="AC59" s="38">
        <v>0</v>
      </c>
      <c r="AD59" s="38">
        <v>0</v>
      </c>
      <c r="AE59" s="38">
        <f t="shared" si="22"/>
        <v>0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</row>
    <row r="60" spans="1:255" x14ac:dyDescent="0.25">
      <c r="A60" s="35" t="s">
        <v>67</v>
      </c>
      <c r="B60" s="40">
        <v>1</v>
      </c>
      <c r="C60" s="40">
        <v>431</v>
      </c>
      <c r="D60" s="40">
        <v>5100</v>
      </c>
      <c r="E60" s="38">
        <f t="shared" si="0"/>
        <v>357666</v>
      </c>
      <c r="F60" s="38">
        <f t="shared" si="0"/>
        <v>357666</v>
      </c>
      <c r="G60" s="38">
        <f t="shared" si="0"/>
        <v>0</v>
      </c>
      <c r="H60" s="38">
        <v>0</v>
      </c>
      <c r="I60" s="38">
        <v>0</v>
      </c>
      <c r="J60" s="38">
        <f t="shared" si="1"/>
        <v>0</v>
      </c>
      <c r="K60" s="38">
        <v>0</v>
      </c>
      <c r="L60" s="38">
        <v>0</v>
      </c>
      <c r="M60" s="38">
        <f t="shared" si="16"/>
        <v>0</v>
      </c>
      <c r="N60" s="38"/>
      <c r="O60" s="38"/>
      <c r="P60" s="38">
        <f t="shared" si="17"/>
        <v>0</v>
      </c>
      <c r="Q60" s="38">
        <v>0</v>
      </c>
      <c r="R60" s="38">
        <v>0</v>
      </c>
      <c r="S60" s="38">
        <f t="shared" si="18"/>
        <v>0</v>
      </c>
      <c r="T60" s="38">
        <f>135314+17352+205000</f>
        <v>357666</v>
      </c>
      <c r="U60" s="38">
        <f>135314+17352+205000</f>
        <v>357666</v>
      </c>
      <c r="V60" s="38">
        <f t="shared" si="19"/>
        <v>0</v>
      </c>
      <c r="W60" s="38">
        <v>0</v>
      </c>
      <c r="X60" s="38">
        <v>0</v>
      </c>
      <c r="Y60" s="38">
        <f t="shared" si="20"/>
        <v>0</v>
      </c>
      <c r="Z60" s="38">
        <v>0</v>
      </c>
      <c r="AA60" s="38">
        <v>0</v>
      </c>
      <c r="AB60" s="38">
        <f t="shared" si="21"/>
        <v>0</v>
      </c>
      <c r="AC60" s="38">
        <v>0</v>
      </c>
      <c r="AD60" s="38">
        <v>0</v>
      </c>
      <c r="AE60" s="38">
        <f t="shared" si="22"/>
        <v>0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</row>
    <row r="61" spans="1:255" ht="31.5" x14ac:dyDescent="0.25">
      <c r="A61" s="35" t="s">
        <v>68</v>
      </c>
      <c r="B61" s="40">
        <v>1</v>
      </c>
      <c r="C61" s="40">
        <v>431</v>
      </c>
      <c r="D61" s="40">
        <v>5100</v>
      </c>
      <c r="E61" s="38">
        <f t="shared" si="0"/>
        <v>122422</v>
      </c>
      <c r="F61" s="38">
        <f t="shared" si="0"/>
        <v>122422</v>
      </c>
      <c r="G61" s="38">
        <f t="shared" si="0"/>
        <v>0</v>
      </c>
      <c r="H61" s="38">
        <v>0</v>
      </c>
      <c r="I61" s="38">
        <v>0</v>
      </c>
      <c r="J61" s="38">
        <f t="shared" si="1"/>
        <v>0</v>
      </c>
      <c r="K61" s="38">
        <v>0</v>
      </c>
      <c r="L61" s="38">
        <v>0</v>
      </c>
      <c r="M61" s="38">
        <f t="shared" si="16"/>
        <v>0</v>
      </c>
      <c r="N61" s="38"/>
      <c r="O61" s="38"/>
      <c r="P61" s="38">
        <f t="shared" si="17"/>
        <v>0</v>
      </c>
      <c r="Q61" s="38">
        <v>0</v>
      </c>
      <c r="R61" s="38">
        <v>0</v>
      </c>
      <c r="S61" s="38">
        <f t="shared" si="18"/>
        <v>0</v>
      </c>
      <c r="T61" s="38">
        <v>122422</v>
      </c>
      <c r="U61" s="38">
        <v>122422</v>
      </c>
      <c r="V61" s="38">
        <f t="shared" si="19"/>
        <v>0</v>
      </c>
      <c r="W61" s="38">
        <v>0</v>
      </c>
      <c r="X61" s="38">
        <v>0</v>
      </c>
      <c r="Y61" s="38">
        <f t="shared" si="20"/>
        <v>0</v>
      </c>
      <c r="Z61" s="38">
        <v>0</v>
      </c>
      <c r="AA61" s="38">
        <v>0</v>
      </c>
      <c r="AB61" s="38">
        <f t="shared" si="21"/>
        <v>0</v>
      </c>
      <c r="AC61" s="38">
        <v>0</v>
      </c>
      <c r="AD61" s="38">
        <v>0</v>
      </c>
      <c r="AE61" s="38">
        <f t="shared" si="22"/>
        <v>0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</row>
    <row r="62" spans="1:255" ht="31.5" x14ac:dyDescent="0.25">
      <c r="A62" s="26" t="s">
        <v>69</v>
      </c>
      <c r="B62" s="34"/>
      <c r="C62" s="34"/>
      <c r="D62" s="40">
        <v>5100</v>
      </c>
      <c r="E62" s="27">
        <f t="shared" si="0"/>
        <v>908648</v>
      </c>
      <c r="F62" s="27">
        <f t="shared" si="0"/>
        <v>914362</v>
      </c>
      <c r="G62" s="27">
        <f t="shared" si="0"/>
        <v>5714</v>
      </c>
      <c r="H62" s="27">
        <f>SUM(H63)</f>
        <v>0</v>
      </c>
      <c r="I62" s="27">
        <f>SUM(I63)</f>
        <v>0</v>
      </c>
      <c r="J62" s="27">
        <f t="shared" si="1"/>
        <v>0</v>
      </c>
      <c r="K62" s="27">
        <f>SUM(K63)</f>
        <v>0</v>
      </c>
      <c r="L62" s="27">
        <f>SUM(L63)</f>
        <v>0</v>
      </c>
      <c r="M62" s="27">
        <f t="shared" si="16"/>
        <v>0</v>
      </c>
      <c r="N62" s="27">
        <f>SUM(N63)</f>
        <v>92305</v>
      </c>
      <c r="O62" s="27">
        <f>SUM(O63)</f>
        <v>98399</v>
      </c>
      <c r="P62" s="27">
        <f t="shared" si="17"/>
        <v>6094</v>
      </c>
      <c r="Q62" s="27">
        <f>SUM(Q63)</f>
        <v>452507</v>
      </c>
      <c r="R62" s="27">
        <f>SUM(R63)</f>
        <v>451411</v>
      </c>
      <c r="S62" s="27">
        <f t="shared" si="18"/>
        <v>-1096</v>
      </c>
      <c r="T62" s="27">
        <f>SUM(T63)</f>
        <v>203836</v>
      </c>
      <c r="U62" s="27">
        <f>SUM(U63)</f>
        <v>204552</v>
      </c>
      <c r="V62" s="27">
        <f t="shared" si="19"/>
        <v>716</v>
      </c>
      <c r="W62" s="27">
        <f>SUM(W63)</f>
        <v>0</v>
      </c>
      <c r="X62" s="27">
        <f>SUM(X63)</f>
        <v>0</v>
      </c>
      <c r="Y62" s="27">
        <f t="shared" si="20"/>
        <v>0</v>
      </c>
      <c r="Z62" s="27">
        <f>SUM(Z63)</f>
        <v>0</v>
      </c>
      <c r="AA62" s="27">
        <f>SUM(AA63)</f>
        <v>0</v>
      </c>
      <c r="AB62" s="27">
        <f t="shared" si="21"/>
        <v>0</v>
      </c>
      <c r="AC62" s="27">
        <f>SUM(AC63)</f>
        <v>160000</v>
      </c>
      <c r="AD62" s="27">
        <f>SUM(AD63)</f>
        <v>160000</v>
      </c>
      <c r="AE62" s="27">
        <f t="shared" si="22"/>
        <v>0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</row>
    <row r="63" spans="1:255" x14ac:dyDescent="0.25">
      <c r="A63" s="26" t="s">
        <v>20</v>
      </c>
      <c r="B63" s="34"/>
      <c r="C63" s="34"/>
      <c r="D63" s="40">
        <v>5100</v>
      </c>
      <c r="E63" s="27">
        <f t="shared" si="0"/>
        <v>908648</v>
      </c>
      <c r="F63" s="27">
        <f t="shared" si="0"/>
        <v>914362</v>
      </c>
      <c r="G63" s="27">
        <f t="shared" si="0"/>
        <v>5714</v>
      </c>
      <c r="H63" s="27">
        <f>SUM(H64:H74)</f>
        <v>0</v>
      </c>
      <c r="I63" s="27">
        <f>SUM(I64:I74)</f>
        <v>0</v>
      </c>
      <c r="J63" s="27">
        <f t="shared" si="1"/>
        <v>0</v>
      </c>
      <c r="K63" s="27">
        <f>SUM(K64:K74)</f>
        <v>0</v>
      </c>
      <c r="L63" s="27">
        <f>SUM(L64:L74)</f>
        <v>0</v>
      </c>
      <c r="M63" s="27">
        <f t="shared" si="16"/>
        <v>0</v>
      </c>
      <c r="N63" s="27">
        <f>SUM(N64:N74)</f>
        <v>92305</v>
      </c>
      <c r="O63" s="27">
        <f>SUM(O64:O74)</f>
        <v>98399</v>
      </c>
      <c r="P63" s="27">
        <f t="shared" si="17"/>
        <v>6094</v>
      </c>
      <c r="Q63" s="27">
        <f>SUM(Q64:Q74)</f>
        <v>452507</v>
      </c>
      <c r="R63" s="27">
        <f>SUM(R64:R74)</f>
        <v>451411</v>
      </c>
      <c r="S63" s="27">
        <f t="shared" si="18"/>
        <v>-1096</v>
      </c>
      <c r="T63" s="27">
        <f>SUM(T64:T74)</f>
        <v>203836</v>
      </c>
      <c r="U63" s="27">
        <f>SUM(U64:U74)</f>
        <v>204552</v>
      </c>
      <c r="V63" s="27">
        <f t="shared" si="19"/>
        <v>716</v>
      </c>
      <c r="W63" s="27">
        <f>SUM(W64:W74)</f>
        <v>0</v>
      </c>
      <c r="X63" s="27">
        <f>SUM(X64:X74)</f>
        <v>0</v>
      </c>
      <c r="Y63" s="27">
        <f t="shared" si="20"/>
        <v>0</v>
      </c>
      <c r="Z63" s="27">
        <f>SUM(Z64:Z74)</f>
        <v>0</v>
      </c>
      <c r="AA63" s="27">
        <f>SUM(AA64:AA74)</f>
        <v>0</v>
      </c>
      <c r="AB63" s="27">
        <f t="shared" si="21"/>
        <v>0</v>
      </c>
      <c r="AC63" s="27">
        <f>SUM(AC64:AC74)</f>
        <v>160000</v>
      </c>
      <c r="AD63" s="27">
        <f>SUM(AD64:AD74)</f>
        <v>160000</v>
      </c>
      <c r="AE63" s="27">
        <f t="shared" si="22"/>
        <v>0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</row>
    <row r="64" spans="1:255" ht="31.5" x14ac:dyDescent="0.25">
      <c r="A64" s="29" t="s">
        <v>70</v>
      </c>
      <c r="B64" s="30">
        <v>1</v>
      </c>
      <c r="C64" s="30">
        <v>530</v>
      </c>
      <c r="D64" s="30">
        <v>5100</v>
      </c>
      <c r="E64" s="31">
        <f t="shared" si="0"/>
        <v>181656</v>
      </c>
      <c r="F64" s="31">
        <f t="shared" si="0"/>
        <v>181656</v>
      </c>
      <c r="G64" s="31">
        <f t="shared" si="0"/>
        <v>0</v>
      </c>
      <c r="H64" s="31">
        <v>0</v>
      </c>
      <c r="I64" s="31">
        <v>0</v>
      </c>
      <c r="J64" s="31">
        <f t="shared" si="1"/>
        <v>0</v>
      </c>
      <c r="K64" s="31">
        <v>0</v>
      </c>
      <c r="L64" s="31">
        <v>0</v>
      </c>
      <c r="M64" s="31">
        <f t="shared" si="16"/>
        <v>0</v>
      </c>
      <c r="N64" s="31">
        <v>0</v>
      </c>
      <c r="O64" s="31">
        <v>0</v>
      </c>
      <c r="P64" s="31">
        <f t="shared" si="17"/>
        <v>0</v>
      </c>
      <c r="Q64" s="31">
        <v>0</v>
      </c>
      <c r="R64" s="31">
        <v>0</v>
      </c>
      <c r="S64" s="31">
        <f t="shared" si="18"/>
        <v>0</v>
      </c>
      <c r="T64" s="31">
        <v>181656</v>
      </c>
      <c r="U64" s="31">
        <v>181656</v>
      </c>
      <c r="V64" s="31">
        <f t="shared" si="19"/>
        <v>0</v>
      </c>
      <c r="W64" s="31">
        <v>0</v>
      </c>
      <c r="X64" s="31">
        <v>0</v>
      </c>
      <c r="Y64" s="31">
        <f t="shared" si="20"/>
        <v>0</v>
      </c>
      <c r="Z64" s="31">
        <v>0</v>
      </c>
      <c r="AA64" s="31">
        <v>0</v>
      </c>
      <c r="AB64" s="31">
        <f t="shared" si="21"/>
        <v>0</v>
      </c>
      <c r="AC64" s="31">
        <v>0</v>
      </c>
      <c r="AD64" s="31">
        <v>0</v>
      </c>
      <c r="AE64" s="31">
        <f t="shared" si="22"/>
        <v>0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</row>
    <row r="65" spans="1:255" ht="31.5" x14ac:dyDescent="0.25">
      <c r="A65" s="42" t="s">
        <v>71</v>
      </c>
      <c r="B65" s="40">
        <v>2</v>
      </c>
      <c r="C65" s="40">
        <v>525</v>
      </c>
      <c r="D65" s="40">
        <v>5100</v>
      </c>
      <c r="E65" s="45">
        <f t="shared" si="0"/>
        <v>15914</v>
      </c>
      <c r="F65" s="45">
        <f t="shared" si="0"/>
        <v>15920</v>
      </c>
      <c r="G65" s="45">
        <f t="shared" si="0"/>
        <v>6</v>
      </c>
      <c r="H65" s="45">
        <v>0</v>
      </c>
      <c r="I65" s="45">
        <v>0</v>
      </c>
      <c r="J65" s="45">
        <f t="shared" si="1"/>
        <v>0</v>
      </c>
      <c r="K65" s="45">
        <v>0</v>
      </c>
      <c r="L65" s="45">
        <v>0</v>
      </c>
      <c r="M65" s="45">
        <f t="shared" si="16"/>
        <v>0</v>
      </c>
      <c r="N65" s="45">
        <v>15914</v>
      </c>
      <c r="O65" s="45">
        <f>15914+6</f>
        <v>15920</v>
      </c>
      <c r="P65" s="45">
        <f t="shared" si="17"/>
        <v>6</v>
      </c>
      <c r="Q65" s="45">
        <v>0</v>
      </c>
      <c r="R65" s="45">
        <v>0</v>
      </c>
      <c r="S65" s="45">
        <f t="shared" si="18"/>
        <v>0</v>
      </c>
      <c r="T65" s="45">
        <v>0</v>
      </c>
      <c r="U65" s="45">
        <v>0</v>
      </c>
      <c r="V65" s="45">
        <f t="shared" si="19"/>
        <v>0</v>
      </c>
      <c r="W65" s="45">
        <v>0</v>
      </c>
      <c r="X65" s="45">
        <v>0</v>
      </c>
      <c r="Y65" s="45">
        <f t="shared" si="20"/>
        <v>0</v>
      </c>
      <c r="Z65" s="45">
        <v>0</v>
      </c>
      <c r="AA65" s="45">
        <v>0</v>
      </c>
      <c r="AB65" s="45">
        <f t="shared" si="21"/>
        <v>0</v>
      </c>
      <c r="AC65" s="45">
        <v>0</v>
      </c>
      <c r="AD65" s="45">
        <v>0</v>
      </c>
      <c r="AE65" s="45">
        <f t="shared" si="22"/>
        <v>0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</row>
    <row r="66" spans="1:255" ht="47.25" x14ac:dyDescent="0.25">
      <c r="A66" s="42" t="s">
        <v>72</v>
      </c>
      <c r="B66" s="40">
        <v>2</v>
      </c>
      <c r="C66" s="40">
        <v>525</v>
      </c>
      <c r="D66" s="40">
        <v>5100</v>
      </c>
      <c r="E66" s="45">
        <f t="shared" si="0"/>
        <v>18059</v>
      </c>
      <c r="F66" s="45">
        <f t="shared" si="0"/>
        <v>18059</v>
      </c>
      <c r="G66" s="45">
        <f t="shared" si="0"/>
        <v>0</v>
      </c>
      <c r="H66" s="45">
        <v>0</v>
      </c>
      <c r="I66" s="45">
        <v>0</v>
      </c>
      <c r="J66" s="45">
        <f t="shared" si="1"/>
        <v>0</v>
      </c>
      <c r="K66" s="45">
        <v>0</v>
      </c>
      <c r="L66" s="45">
        <v>0</v>
      </c>
      <c r="M66" s="45">
        <f t="shared" si="16"/>
        <v>0</v>
      </c>
      <c r="N66" s="45">
        <v>18059</v>
      </c>
      <c r="O66" s="45">
        <v>18059</v>
      </c>
      <c r="P66" s="45">
        <f t="shared" si="17"/>
        <v>0</v>
      </c>
      <c r="Q66" s="45">
        <v>0</v>
      </c>
      <c r="R66" s="45">
        <v>0</v>
      </c>
      <c r="S66" s="45">
        <f t="shared" si="18"/>
        <v>0</v>
      </c>
      <c r="T66" s="45">
        <v>0</v>
      </c>
      <c r="U66" s="45">
        <v>0</v>
      </c>
      <c r="V66" s="45">
        <f t="shared" si="19"/>
        <v>0</v>
      </c>
      <c r="W66" s="45">
        <v>0</v>
      </c>
      <c r="X66" s="45">
        <v>0</v>
      </c>
      <c r="Y66" s="45">
        <f t="shared" si="20"/>
        <v>0</v>
      </c>
      <c r="Z66" s="45">
        <v>0</v>
      </c>
      <c r="AA66" s="45">
        <v>0</v>
      </c>
      <c r="AB66" s="45">
        <f t="shared" si="21"/>
        <v>0</v>
      </c>
      <c r="AC66" s="45">
        <v>0</v>
      </c>
      <c r="AD66" s="45">
        <v>0</v>
      </c>
      <c r="AE66" s="45">
        <f t="shared" si="22"/>
        <v>0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</row>
    <row r="67" spans="1:255" ht="31.5" x14ac:dyDescent="0.25">
      <c r="A67" s="42" t="s">
        <v>73</v>
      </c>
      <c r="B67" s="40">
        <v>2</v>
      </c>
      <c r="C67" s="40">
        <v>525</v>
      </c>
      <c r="D67" s="40">
        <v>5100</v>
      </c>
      <c r="E67" s="45">
        <f t="shared" si="0"/>
        <v>2711</v>
      </c>
      <c r="F67" s="45">
        <f t="shared" si="0"/>
        <v>3832</v>
      </c>
      <c r="G67" s="45">
        <f t="shared" si="0"/>
        <v>1121</v>
      </c>
      <c r="H67" s="45">
        <v>0</v>
      </c>
      <c r="I67" s="45">
        <v>0</v>
      </c>
      <c r="J67" s="45">
        <f t="shared" si="1"/>
        <v>0</v>
      </c>
      <c r="K67" s="45">
        <v>0</v>
      </c>
      <c r="L67" s="45">
        <v>0</v>
      </c>
      <c r="M67" s="45">
        <f t="shared" si="16"/>
        <v>0</v>
      </c>
      <c r="N67" s="45">
        <v>2711</v>
      </c>
      <c r="O67" s="45">
        <f>2711+1121</f>
        <v>3832</v>
      </c>
      <c r="P67" s="45">
        <f t="shared" si="17"/>
        <v>1121</v>
      </c>
      <c r="Q67" s="45">
        <v>0</v>
      </c>
      <c r="R67" s="45">
        <v>0</v>
      </c>
      <c r="S67" s="45">
        <f t="shared" si="18"/>
        <v>0</v>
      </c>
      <c r="T67" s="45">
        <v>0</v>
      </c>
      <c r="U67" s="45">
        <v>0</v>
      </c>
      <c r="V67" s="45">
        <f t="shared" si="19"/>
        <v>0</v>
      </c>
      <c r="W67" s="45">
        <v>0</v>
      </c>
      <c r="X67" s="45">
        <v>0</v>
      </c>
      <c r="Y67" s="45">
        <f t="shared" si="20"/>
        <v>0</v>
      </c>
      <c r="Z67" s="45">
        <v>0</v>
      </c>
      <c r="AA67" s="45">
        <v>0</v>
      </c>
      <c r="AB67" s="45">
        <f t="shared" si="21"/>
        <v>0</v>
      </c>
      <c r="AC67" s="45">
        <v>0</v>
      </c>
      <c r="AD67" s="45">
        <v>0</v>
      </c>
      <c r="AE67" s="45">
        <f t="shared" si="22"/>
        <v>0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ht="31.5" x14ac:dyDescent="0.25">
      <c r="A68" s="42" t="s">
        <v>74</v>
      </c>
      <c r="B68" s="40">
        <v>2</v>
      </c>
      <c r="C68" s="40">
        <v>525</v>
      </c>
      <c r="D68" s="40">
        <v>5100</v>
      </c>
      <c r="E68" s="45">
        <f t="shared" si="0"/>
        <v>1950</v>
      </c>
      <c r="F68" s="45">
        <f t="shared" si="0"/>
        <v>1950</v>
      </c>
      <c r="G68" s="45">
        <f t="shared" si="0"/>
        <v>0</v>
      </c>
      <c r="H68" s="45">
        <v>0</v>
      </c>
      <c r="I68" s="45">
        <v>0</v>
      </c>
      <c r="J68" s="45">
        <f t="shared" si="1"/>
        <v>0</v>
      </c>
      <c r="K68" s="45">
        <v>0</v>
      </c>
      <c r="L68" s="45">
        <v>0</v>
      </c>
      <c r="M68" s="45">
        <f t="shared" si="16"/>
        <v>0</v>
      </c>
      <c r="N68" s="45">
        <v>1950</v>
      </c>
      <c r="O68" s="45">
        <v>1950</v>
      </c>
      <c r="P68" s="45">
        <f t="shared" si="17"/>
        <v>0</v>
      </c>
      <c r="Q68" s="45">
        <v>0</v>
      </c>
      <c r="R68" s="45">
        <v>0</v>
      </c>
      <c r="S68" s="45">
        <f t="shared" si="18"/>
        <v>0</v>
      </c>
      <c r="T68" s="45">
        <v>0</v>
      </c>
      <c r="U68" s="45">
        <v>0</v>
      </c>
      <c r="V68" s="45">
        <f t="shared" si="19"/>
        <v>0</v>
      </c>
      <c r="W68" s="45">
        <v>0</v>
      </c>
      <c r="X68" s="45">
        <v>0</v>
      </c>
      <c r="Y68" s="45">
        <f t="shared" si="20"/>
        <v>0</v>
      </c>
      <c r="Z68" s="45">
        <v>0</v>
      </c>
      <c r="AA68" s="45">
        <v>0</v>
      </c>
      <c r="AB68" s="45">
        <f t="shared" si="21"/>
        <v>0</v>
      </c>
      <c r="AC68" s="45">
        <v>0</v>
      </c>
      <c r="AD68" s="45">
        <v>0</v>
      </c>
      <c r="AE68" s="45">
        <f t="shared" si="22"/>
        <v>0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ht="31.5" x14ac:dyDescent="0.25">
      <c r="A69" s="42" t="s">
        <v>75</v>
      </c>
      <c r="B69" s="40">
        <v>2</v>
      </c>
      <c r="C69" s="40">
        <v>525</v>
      </c>
      <c r="D69" s="40">
        <v>5100</v>
      </c>
      <c r="E69" s="45">
        <f t="shared" si="0"/>
        <v>2350</v>
      </c>
      <c r="F69" s="45">
        <f t="shared" si="0"/>
        <v>6317</v>
      </c>
      <c r="G69" s="45">
        <f t="shared" si="0"/>
        <v>3967</v>
      </c>
      <c r="H69" s="45">
        <v>0</v>
      </c>
      <c r="I69" s="45">
        <v>0</v>
      </c>
      <c r="J69" s="45">
        <f t="shared" si="1"/>
        <v>0</v>
      </c>
      <c r="K69" s="45">
        <v>0</v>
      </c>
      <c r="L69" s="45">
        <v>0</v>
      </c>
      <c r="M69" s="45">
        <f t="shared" si="16"/>
        <v>0</v>
      </c>
      <c r="N69" s="45">
        <v>2350</v>
      </c>
      <c r="O69" s="45">
        <f>2350+3967</f>
        <v>6317</v>
      </c>
      <c r="P69" s="45">
        <f t="shared" si="17"/>
        <v>3967</v>
      </c>
      <c r="Q69" s="45">
        <v>0</v>
      </c>
      <c r="R69" s="45">
        <v>0</v>
      </c>
      <c r="S69" s="45">
        <f t="shared" si="18"/>
        <v>0</v>
      </c>
      <c r="T69" s="45">
        <v>0</v>
      </c>
      <c r="U69" s="45">
        <v>0</v>
      </c>
      <c r="V69" s="45">
        <f t="shared" si="19"/>
        <v>0</v>
      </c>
      <c r="W69" s="45">
        <v>0</v>
      </c>
      <c r="X69" s="45">
        <v>0</v>
      </c>
      <c r="Y69" s="45">
        <f t="shared" si="20"/>
        <v>0</v>
      </c>
      <c r="Z69" s="45">
        <v>0</v>
      </c>
      <c r="AA69" s="45">
        <v>0</v>
      </c>
      <c r="AB69" s="45">
        <f t="shared" si="21"/>
        <v>0</v>
      </c>
      <c r="AC69" s="45">
        <v>0</v>
      </c>
      <c r="AD69" s="45">
        <v>0</v>
      </c>
      <c r="AE69" s="45">
        <f t="shared" si="22"/>
        <v>0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ht="48.75" customHeight="1" x14ac:dyDescent="0.25">
      <c r="A70" s="42" t="s">
        <v>76</v>
      </c>
      <c r="B70" s="40">
        <v>2</v>
      </c>
      <c r="C70" s="40">
        <v>525</v>
      </c>
      <c r="D70" s="40">
        <v>5100</v>
      </c>
      <c r="E70" s="45">
        <f t="shared" si="0"/>
        <v>24803</v>
      </c>
      <c r="F70" s="45">
        <f t="shared" si="0"/>
        <v>24803</v>
      </c>
      <c r="G70" s="45">
        <f t="shared" si="0"/>
        <v>0</v>
      </c>
      <c r="H70" s="45">
        <v>0</v>
      </c>
      <c r="I70" s="45">
        <v>0</v>
      </c>
      <c r="J70" s="45">
        <f t="shared" si="1"/>
        <v>0</v>
      </c>
      <c r="K70" s="45">
        <v>0</v>
      </c>
      <c r="L70" s="45">
        <v>0</v>
      </c>
      <c r="M70" s="45">
        <f t="shared" si="16"/>
        <v>0</v>
      </c>
      <c r="N70" s="45">
        <v>24803</v>
      </c>
      <c r="O70" s="45">
        <v>24803</v>
      </c>
      <c r="P70" s="45">
        <f t="shared" si="17"/>
        <v>0</v>
      </c>
      <c r="Q70" s="45">
        <v>0</v>
      </c>
      <c r="R70" s="45">
        <v>0</v>
      </c>
      <c r="S70" s="45">
        <f t="shared" si="18"/>
        <v>0</v>
      </c>
      <c r="T70" s="45">
        <v>0</v>
      </c>
      <c r="U70" s="45">
        <v>0</v>
      </c>
      <c r="V70" s="45">
        <f t="shared" si="19"/>
        <v>0</v>
      </c>
      <c r="W70" s="45">
        <v>0</v>
      </c>
      <c r="X70" s="45">
        <v>0</v>
      </c>
      <c r="Y70" s="45">
        <f t="shared" si="20"/>
        <v>0</v>
      </c>
      <c r="Z70" s="45">
        <v>0</v>
      </c>
      <c r="AA70" s="45">
        <v>0</v>
      </c>
      <c r="AB70" s="45">
        <f t="shared" si="21"/>
        <v>0</v>
      </c>
      <c r="AC70" s="45">
        <v>0</v>
      </c>
      <c r="AD70" s="45">
        <v>0</v>
      </c>
      <c r="AE70" s="45">
        <f t="shared" si="22"/>
        <v>0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31.5" x14ac:dyDescent="0.25">
      <c r="A71" s="42" t="s">
        <v>77</v>
      </c>
      <c r="B71" s="40">
        <v>2</v>
      </c>
      <c r="C71" s="40">
        <v>525</v>
      </c>
      <c r="D71" s="40">
        <v>5100</v>
      </c>
      <c r="E71" s="45">
        <f t="shared" si="0"/>
        <v>9034</v>
      </c>
      <c r="F71" s="45">
        <f t="shared" si="0"/>
        <v>9034</v>
      </c>
      <c r="G71" s="45">
        <f t="shared" si="0"/>
        <v>0</v>
      </c>
      <c r="H71" s="45">
        <v>0</v>
      </c>
      <c r="I71" s="45">
        <v>0</v>
      </c>
      <c r="J71" s="45">
        <f t="shared" si="1"/>
        <v>0</v>
      </c>
      <c r="K71" s="45">
        <v>0</v>
      </c>
      <c r="L71" s="45">
        <v>0</v>
      </c>
      <c r="M71" s="45">
        <f t="shared" si="16"/>
        <v>0</v>
      </c>
      <c r="N71" s="45">
        <v>9034</v>
      </c>
      <c r="O71" s="45">
        <v>9034</v>
      </c>
      <c r="P71" s="45">
        <f t="shared" si="17"/>
        <v>0</v>
      </c>
      <c r="Q71" s="45">
        <v>0</v>
      </c>
      <c r="R71" s="45">
        <v>0</v>
      </c>
      <c r="S71" s="45">
        <f t="shared" si="18"/>
        <v>0</v>
      </c>
      <c r="T71" s="45">
        <v>0</v>
      </c>
      <c r="U71" s="45">
        <v>0</v>
      </c>
      <c r="V71" s="45">
        <f t="shared" si="19"/>
        <v>0</v>
      </c>
      <c r="W71" s="45">
        <v>0</v>
      </c>
      <c r="X71" s="45">
        <v>0</v>
      </c>
      <c r="Y71" s="45">
        <f t="shared" si="20"/>
        <v>0</v>
      </c>
      <c r="Z71" s="45">
        <v>0</v>
      </c>
      <c r="AA71" s="45">
        <v>0</v>
      </c>
      <c r="AB71" s="45">
        <f t="shared" si="21"/>
        <v>0</v>
      </c>
      <c r="AC71" s="45">
        <v>0</v>
      </c>
      <c r="AD71" s="45">
        <v>0</v>
      </c>
      <c r="AE71" s="45">
        <f t="shared" si="22"/>
        <v>0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ht="31.5" x14ac:dyDescent="0.25">
      <c r="A72" s="42" t="s">
        <v>78</v>
      </c>
      <c r="B72" s="40">
        <v>2</v>
      </c>
      <c r="C72" s="40">
        <v>525</v>
      </c>
      <c r="D72" s="40">
        <v>5100</v>
      </c>
      <c r="E72" s="45">
        <f t="shared" ref="E72:G134" si="23">H72+K72+N72+Q72+T72+W72+Z72+AC72</f>
        <v>4500</v>
      </c>
      <c r="F72" s="45">
        <f t="shared" si="23"/>
        <v>4500</v>
      </c>
      <c r="G72" s="45">
        <f t="shared" si="23"/>
        <v>0</v>
      </c>
      <c r="H72" s="45">
        <v>0</v>
      </c>
      <c r="I72" s="45">
        <v>0</v>
      </c>
      <c r="J72" s="45">
        <f t="shared" ref="J72:J134" si="24">I72-H72</f>
        <v>0</v>
      </c>
      <c r="K72" s="45">
        <v>0</v>
      </c>
      <c r="L72" s="45">
        <v>0</v>
      </c>
      <c r="M72" s="45">
        <f t="shared" ref="M72:M134" si="25">L72-K72</f>
        <v>0</v>
      </c>
      <c r="N72" s="45">
        <v>4500</v>
      </c>
      <c r="O72" s="45">
        <v>4500</v>
      </c>
      <c r="P72" s="45">
        <f t="shared" ref="P72:P134" si="26">O72-N72</f>
        <v>0</v>
      </c>
      <c r="Q72" s="45">
        <v>0</v>
      </c>
      <c r="R72" s="45">
        <v>0</v>
      </c>
      <c r="S72" s="45">
        <f t="shared" ref="S72:S134" si="27">R72-Q72</f>
        <v>0</v>
      </c>
      <c r="T72" s="45">
        <v>0</v>
      </c>
      <c r="U72" s="45">
        <v>0</v>
      </c>
      <c r="V72" s="45">
        <f t="shared" ref="V72:V134" si="28">U72-T72</f>
        <v>0</v>
      </c>
      <c r="W72" s="45">
        <v>0</v>
      </c>
      <c r="X72" s="45">
        <v>0</v>
      </c>
      <c r="Y72" s="45">
        <f t="shared" ref="Y72:Y134" si="29">X72-W72</f>
        <v>0</v>
      </c>
      <c r="Z72" s="45">
        <v>0</v>
      </c>
      <c r="AA72" s="45">
        <v>0</v>
      </c>
      <c r="AB72" s="45">
        <f t="shared" ref="AB72:AB134" si="30">AA72-Z72</f>
        <v>0</v>
      </c>
      <c r="AC72" s="45">
        <v>0</v>
      </c>
      <c r="AD72" s="45">
        <v>0</v>
      </c>
      <c r="AE72" s="45">
        <f t="shared" ref="AE72:AE134" si="31">AD72-AC72</f>
        <v>0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ht="31.5" x14ac:dyDescent="0.25">
      <c r="A73" s="42" t="s">
        <v>79</v>
      </c>
      <c r="B73" s="40">
        <v>2</v>
      </c>
      <c r="C73" s="40">
        <v>525</v>
      </c>
      <c r="D73" s="40">
        <v>5100</v>
      </c>
      <c r="E73" s="45">
        <f t="shared" si="23"/>
        <v>12984</v>
      </c>
      <c r="F73" s="45">
        <f t="shared" si="23"/>
        <v>13984</v>
      </c>
      <c r="G73" s="45">
        <f t="shared" si="23"/>
        <v>1000</v>
      </c>
      <c r="H73" s="45">
        <v>0</v>
      </c>
      <c r="I73" s="45">
        <v>0</v>
      </c>
      <c r="J73" s="45">
        <f t="shared" si="24"/>
        <v>0</v>
      </c>
      <c r="K73" s="45">
        <v>0</v>
      </c>
      <c r="L73" s="45">
        <v>0</v>
      </c>
      <c r="M73" s="45">
        <f t="shared" si="25"/>
        <v>0</v>
      </c>
      <c r="N73" s="45">
        <v>12984</v>
      </c>
      <c r="O73" s="45">
        <f>12984+1000</f>
        <v>13984</v>
      </c>
      <c r="P73" s="45">
        <f t="shared" si="26"/>
        <v>1000</v>
      </c>
      <c r="Q73" s="45">
        <v>0</v>
      </c>
      <c r="R73" s="45">
        <v>0</v>
      </c>
      <c r="S73" s="45">
        <f t="shared" si="27"/>
        <v>0</v>
      </c>
      <c r="T73" s="45">
        <v>0</v>
      </c>
      <c r="U73" s="45">
        <v>0</v>
      </c>
      <c r="V73" s="45">
        <f t="shared" si="28"/>
        <v>0</v>
      </c>
      <c r="W73" s="45">
        <v>0</v>
      </c>
      <c r="X73" s="45">
        <v>0</v>
      </c>
      <c r="Y73" s="45">
        <f t="shared" si="29"/>
        <v>0</v>
      </c>
      <c r="Z73" s="45">
        <v>0</v>
      </c>
      <c r="AA73" s="45">
        <v>0</v>
      </c>
      <c r="AB73" s="45">
        <f t="shared" si="30"/>
        <v>0</v>
      </c>
      <c r="AC73" s="45">
        <v>0</v>
      </c>
      <c r="AD73" s="45">
        <v>0</v>
      </c>
      <c r="AE73" s="45">
        <f t="shared" si="31"/>
        <v>0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ht="94.5" x14ac:dyDescent="0.25">
      <c r="A74" s="42" t="s">
        <v>80</v>
      </c>
      <c r="B74" s="36">
        <v>1</v>
      </c>
      <c r="C74" s="36">
        <v>550</v>
      </c>
      <c r="D74" s="36">
        <v>5100</v>
      </c>
      <c r="E74" s="31">
        <f t="shared" si="23"/>
        <v>634687</v>
      </c>
      <c r="F74" s="31">
        <f t="shared" si="23"/>
        <v>634307</v>
      </c>
      <c r="G74" s="31">
        <f t="shared" si="23"/>
        <v>-380</v>
      </c>
      <c r="H74" s="31">
        <v>0</v>
      </c>
      <c r="I74" s="31">
        <v>0</v>
      </c>
      <c r="J74" s="31">
        <f t="shared" si="24"/>
        <v>0</v>
      </c>
      <c r="K74" s="31">
        <v>0</v>
      </c>
      <c r="L74" s="31">
        <v>0</v>
      </c>
      <c r="M74" s="31">
        <f t="shared" si="25"/>
        <v>0</v>
      </c>
      <c r="N74" s="31"/>
      <c r="O74" s="31"/>
      <c r="P74" s="31">
        <f t="shared" si="26"/>
        <v>0</v>
      </c>
      <c r="Q74" s="31">
        <f>490336-37829</f>
        <v>452507</v>
      </c>
      <c r="R74" s="31">
        <f>490336-37829-1096</f>
        <v>451411</v>
      </c>
      <c r="S74" s="31">
        <f t="shared" si="27"/>
        <v>-1096</v>
      </c>
      <c r="T74" s="31">
        <v>22180</v>
      </c>
      <c r="U74" s="31">
        <f>22180+716</f>
        <v>22896</v>
      </c>
      <c r="V74" s="31">
        <f t="shared" si="28"/>
        <v>716</v>
      </c>
      <c r="W74" s="31">
        <v>0</v>
      </c>
      <c r="X74" s="31">
        <v>0</v>
      </c>
      <c r="Y74" s="31">
        <f t="shared" si="29"/>
        <v>0</v>
      </c>
      <c r="Z74" s="31">
        <v>0</v>
      </c>
      <c r="AA74" s="31">
        <v>0</v>
      </c>
      <c r="AB74" s="31">
        <f t="shared" si="30"/>
        <v>0</v>
      </c>
      <c r="AC74" s="31">
        <v>160000</v>
      </c>
      <c r="AD74" s="31">
        <v>160000</v>
      </c>
      <c r="AE74" s="31">
        <f t="shared" si="31"/>
        <v>0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 ht="31.5" x14ac:dyDescent="0.25">
      <c r="A75" s="26" t="s">
        <v>81</v>
      </c>
      <c r="B75" s="34"/>
      <c r="C75" s="34"/>
      <c r="D75" s="40">
        <v>5100</v>
      </c>
      <c r="E75" s="27">
        <f t="shared" si="23"/>
        <v>13989741</v>
      </c>
      <c r="F75" s="27">
        <f t="shared" si="23"/>
        <v>14223602</v>
      </c>
      <c r="G75" s="27">
        <f t="shared" si="23"/>
        <v>233861</v>
      </c>
      <c r="H75" s="27">
        <f>SUM(H76)</f>
        <v>1456246</v>
      </c>
      <c r="I75" s="27">
        <f>SUM(I76)</f>
        <v>943867</v>
      </c>
      <c r="J75" s="27">
        <f t="shared" si="24"/>
        <v>-512379</v>
      </c>
      <c r="K75" s="27">
        <f>SUM(K76)</f>
        <v>582500</v>
      </c>
      <c r="L75" s="27">
        <f>SUM(L76)</f>
        <v>582500</v>
      </c>
      <c r="M75" s="27">
        <f t="shared" si="25"/>
        <v>0</v>
      </c>
      <c r="N75" s="27">
        <f>SUM(N76)</f>
        <v>1377080</v>
      </c>
      <c r="O75" s="27">
        <f>SUM(O76)</f>
        <v>767074</v>
      </c>
      <c r="P75" s="27">
        <f t="shared" si="26"/>
        <v>-610006</v>
      </c>
      <c r="Q75" s="27">
        <f>SUM(Q76)</f>
        <v>8445869</v>
      </c>
      <c r="R75" s="27">
        <f>SUM(R76)</f>
        <v>8445869</v>
      </c>
      <c r="S75" s="27">
        <f t="shared" si="27"/>
        <v>0</v>
      </c>
      <c r="T75" s="27">
        <f>SUM(T76)</f>
        <v>0</v>
      </c>
      <c r="U75" s="27">
        <f>SUM(U76)</f>
        <v>0</v>
      </c>
      <c r="V75" s="27">
        <f t="shared" si="28"/>
        <v>0</v>
      </c>
      <c r="W75" s="27">
        <f>SUM(W76)</f>
        <v>1528046</v>
      </c>
      <c r="X75" s="27">
        <f>SUM(X76)</f>
        <v>1528046</v>
      </c>
      <c r="Y75" s="27">
        <f t="shared" si="29"/>
        <v>0</v>
      </c>
      <c r="Z75" s="27">
        <f>SUM(Z76)</f>
        <v>0</v>
      </c>
      <c r="AA75" s="27">
        <f>SUM(AA76)</f>
        <v>0</v>
      </c>
      <c r="AB75" s="27">
        <f t="shared" si="30"/>
        <v>0</v>
      </c>
      <c r="AC75" s="27">
        <f>SUM(AC76)</f>
        <v>600000</v>
      </c>
      <c r="AD75" s="27">
        <f>SUM(AD76)</f>
        <v>1956246</v>
      </c>
      <c r="AE75" s="27">
        <f t="shared" si="31"/>
        <v>1356246</v>
      </c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 x14ac:dyDescent="0.25">
      <c r="A76" s="26" t="s">
        <v>20</v>
      </c>
      <c r="B76" s="34"/>
      <c r="C76" s="34"/>
      <c r="D76" s="40">
        <v>5100</v>
      </c>
      <c r="E76" s="27">
        <f t="shared" si="23"/>
        <v>13989741</v>
      </c>
      <c r="F76" s="27">
        <f t="shared" si="23"/>
        <v>14223602</v>
      </c>
      <c r="G76" s="27">
        <f t="shared" si="23"/>
        <v>233861</v>
      </c>
      <c r="H76" s="27">
        <f>SUM(H77:H91)</f>
        <v>1456246</v>
      </c>
      <c r="I76" s="27">
        <f>SUM(I77:I91)</f>
        <v>943867</v>
      </c>
      <c r="J76" s="27">
        <f t="shared" si="24"/>
        <v>-512379</v>
      </c>
      <c r="K76" s="27">
        <f>SUM(K77:K91)</f>
        <v>582500</v>
      </c>
      <c r="L76" s="27">
        <f>SUM(L77:L91)</f>
        <v>582500</v>
      </c>
      <c r="M76" s="27">
        <f t="shared" si="25"/>
        <v>0</v>
      </c>
      <c r="N76" s="27">
        <f>SUM(N77:N91)</f>
        <v>1377080</v>
      </c>
      <c r="O76" s="27">
        <f>SUM(O77:O91)</f>
        <v>767074</v>
      </c>
      <c r="P76" s="27">
        <f t="shared" si="26"/>
        <v>-610006</v>
      </c>
      <c r="Q76" s="27">
        <f>SUM(Q77:Q91)</f>
        <v>8445869</v>
      </c>
      <c r="R76" s="27">
        <f>SUM(R77:R91)</f>
        <v>8445869</v>
      </c>
      <c r="S76" s="27">
        <f t="shared" si="27"/>
        <v>0</v>
      </c>
      <c r="T76" s="27">
        <f>SUM(T77:T91)</f>
        <v>0</v>
      </c>
      <c r="U76" s="27">
        <f>SUM(U77:U91)</f>
        <v>0</v>
      </c>
      <c r="V76" s="27">
        <f t="shared" si="28"/>
        <v>0</v>
      </c>
      <c r="W76" s="27">
        <f>SUM(W77:W91)</f>
        <v>1528046</v>
      </c>
      <c r="X76" s="27">
        <f>SUM(X77:X91)</f>
        <v>1528046</v>
      </c>
      <c r="Y76" s="27">
        <f t="shared" si="29"/>
        <v>0</v>
      </c>
      <c r="Z76" s="27">
        <f>SUM(Z77:Z91)</f>
        <v>0</v>
      </c>
      <c r="AA76" s="27">
        <f>SUM(AA77:AA91)</f>
        <v>0</v>
      </c>
      <c r="AB76" s="27">
        <f t="shared" si="30"/>
        <v>0</v>
      </c>
      <c r="AC76" s="27">
        <f>SUM(AC77:AC91)</f>
        <v>600000</v>
      </c>
      <c r="AD76" s="27">
        <f>SUM(AD77:AD91)</f>
        <v>1956246</v>
      </c>
      <c r="AE76" s="27">
        <f t="shared" si="31"/>
        <v>1356246</v>
      </c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 ht="47.25" x14ac:dyDescent="0.25">
      <c r="A77" s="39" t="s">
        <v>82</v>
      </c>
      <c r="B77" s="37">
        <v>2</v>
      </c>
      <c r="C77" s="37">
        <v>603</v>
      </c>
      <c r="D77" s="40">
        <v>5100</v>
      </c>
      <c r="E77" s="38">
        <f t="shared" si="23"/>
        <v>46230</v>
      </c>
      <c r="F77" s="38">
        <f t="shared" si="23"/>
        <v>46230</v>
      </c>
      <c r="G77" s="38">
        <f t="shared" si="23"/>
        <v>0</v>
      </c>
      <c r="H77" s="38">
        <v>0</v>
      </c>
      <c r="I77" s="38">
        <v>0</v>
      </c>
      <c r="J77" s="38">
        <f t="shared" si="24"/>
        <v>0</v>
      </c>
      <c r="K77" s="38">
        <v>0</v>
      </c>
      <c r="L77" s="38">
        <v>0</v>
      </c>
      <c r="M77" s="38">
        <f t="shared" si="25"/>
        <v>0</v>
      </c>
      <c r="N77" s="38">
        <v>46230</v>
      </c>
      <c r="O77" s="38">
        <v>46230</v>
      </c>
      <c r="P77" s="38">
        <f t="shared" si="26"/>
        <v>0</v>
      </c>
      <c r="Q77" s="38">
        <v>0</v>
      </c>
      <c r="R77" s="38">
        <v>0</v>
      </c>
      <c r="S77" s="38">
        <f t="shared" si="27"/>
        <v>0</v>
      </c>
      <c r="T77" s="38">
        <v>0</v>
      </c>
      <c r="U77" s="38">
        <v>0</v>
      </c>
      <c r="V77" s="38">
        <f t="shared" si="28"/>
        <v>0</v>
      </c>
      <c r="W77" s="38">
        <v>0</v>
      </c>
      <c r="X77" s="38">
        <v>0</v>
      </c>
      <c r="Y77" s="38">
        <f t="shared" si="29"/>
        <v>0</v>
      </c>
      <c r="Z77" s="38">
        <v>0</v>
      </c>
      <c r="AA77" s="38">
        <v>0</v>
      </c>
      <c r="AB77" s="38">
        <f t="shared" si="30"/>
        <v>0</v>
      </c>
      <c r="AC77" s="38">
        <v>0</v>
      </c>
      <c r="AD77" s="38">
        <v>0</v>
      </c>
      <c r="AE77" s="38">
        <f t="shared" si="31"/>
        <v>0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 ht="31.5" x14ac:dyDescent="0.25">
      <c r="A78" s="35" t="s">
        <v>83</v>
      </c>
      <c r="B78" s="36">
        <v>2</v>
      </c>
      <c r="C78" s="36">
        <v>619</v>
      </c>
      <c r="D78" s="36">
        <v>5100</v>
      </c>
      <c r="E78" s="38">
        <f t="shared" si="23"/>
        <v>13990</v>
      </c>
      <c r="F78" s="38">
        <f t="shared" si="23"/>
        <v>13990</v>
      </c>
      <c r="G78" s="38">
        <f t="shared" si="23"/>
        <v>0</v>
      </c>
      <c r="H78" s="38">
        <v>0</v>
      </c>
      <c r="I78" s="38">
        <v>0</v>
      </c>
      <c r="J78" s="38">
        <f t="shared" si="24"/>
        <v>0</v>
      </c>
      <c r="K78" s="38">
        <v>0</v>
      </c>
      <c r="L78" s="38">
        <v>0</v>
      </c>
      <c r="M78" s="38">
        <f t="shared" si="25"/>
        <v>0</v>
      </c>
      <c r="N78" s="38">
        <v>13990</v>
      </c>
      <c r="O78" s="38">
        <v>13990</v>
      </c>
      <c r="P78" s="38">
        <f t="shared" si="26"/>
        <v>0</v>
      </c>
      <c r="Q78" s="38">
        <v>0</v>
      </c>
      <c r="R78" s="38">
        <v>0</v>
      </c>
      <c r="S78" s="38">
        <f t="shared" si="27"/>
        <v>0</v>
      </c>
      <c r="T78" s="38">
        <v>0</v>
      </c>
      <c r="U78" s="38">
        <v>0</v>
      </c>
      <c r="V78" s="38">
        <f t="shared" si="28"/>
        <v>0</v>
      </c>
      <c r="W78" s="38"/>
      <c r="X78" s="38"/>
      <c r="Y78" s="38">
        <f t="shared" si="29"/>
        <v>0</v>
      </c>
      <c r="Z78" s="38">
        <v>0</v>
      </c>
      <c r="AA78" s="38">
        <v>0</v>
      </c>
      <c r="AB78" s="38">
        <f t="shared" si="30"/>
        <v>0</v>
      </c>
      <c r="AC78" s="38">
        <v>0</v>
      </c>
      <c r="AD78" s="38">
        <v>0</v>
      </c>
      <c r="AE78" s="38">
        <f t="shared" si="31"/>
        <v>0</v>
      </c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 ht="31.5" x14ac:dyDescent="0.25">
      <c r="A79" s="39" t="s">
        <v>84</v>
      </c>
      <c r="B79" s="37">
        <v>2</v>
      </c>
      <c r="C79" s="37">
        <v>619</v>
      </c>
      <c r="D79" s="37">
        <v>5100</v>
      </c>
      <c r="E79" s="38">
        <f t="shared" si="23"/>
        <v>4818</v>
      </c>
      <c r="F79" s="38">
        <f t="shared" si="23"/>
        <v>4818</v>
      </c>
      <c r="G79" s="38">
        <f t="shared" si="23"/>
        <v>0</v>
      </c>
      <c r="H79" s="38">
        <v>0</v>
      </c>
      <c r="I79" s="38">
        <v>0</v>
      </c>
      <c r="J79" s="38">
        <f t="shared" si="24"/>
        <v>0</v>
      </c>
      <c r="K79" s="38">
        <v>0</v>
      </c>
      <c r="L79" s="38">
        <v>0</v>
      </c>
      <c r="M79" s="38">
        <f t="shared" si="25"/>
        <v>0</v>
      </c>
      <c r="N79" s="38">
        <v>4818</v>
      </c>
      <c r="O79" s="38">
        <v>4818</v>
      </c>
      <c r="P79" s="38">
        <f t="shared" si="26"/>
        <v>0</v>
      </c>
      <c r="Q79" s="38"/>
      <c r="R79" s="38"/>
      <c r="S79" s="38">
        <f t="shared" si="27"/>
        <v>0</v>
      </c>
      <c r="T79" s="38">
        <v>0</v>
      </c>
      <c r="U79" s="38">
        <v>0</v>
      </c>
      <c r="V79" s="38">
        <f t="shared" si="28"/>
        <v>0</v>
      </c>
      <c r="W79" s="38">
        <v>0</v>
      </c>
      <c r="X79" s="38">
        <v>0</v>
      </c>
      <c r="Y79" s="38">
        <f t="shared" si="29"/>
        <v>0</v>
      </c>
      <c r="Z79" s="38">
        <v>0</v>
      </c>
      <c r="AA79" s="38">
        <v>0</v>
      </c>
      <c r="AB79" s="38">
        <f t="shared" si="30"/>
        <v>0</v>
      </c>
      <c r="AC79" s="38">
        <v>0</v>
      </c>
      <c r="AD79" s="38">
        <v>0</v>
      </c>
      <c r="AE79" s="38">
        <f t="shared" si="31"/>
        <v>0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 ht="20.25" customHeight="1" x14ac:dyDescent="0.25">
      <c r="A80" s="35" t="s">
        <v>85</v>
      </c>
      <c r="B80" s="36">
        <v>2</v>
      </c>
      <c r="C80" s="36">
        <v>619</v>
      </c>
      <c r="D80" s="36">
        <v>5100</v>
      </c>
      <c r="E80" s="38">
        <f t="shared" si="23"/>
        <v>25032</v>
      </c>
      <c r="F80" s="38">
        <f t="shared" si="23"/>
        <v>25032</v>
      </c>
      <c r="G80" s="38">
        <f t="shared" si="23"/>
        <v>0</v>
      </c>
      <c r="H80" s="38">
        <v>0</v>
      </c>
      <c r="I80" s="38">
        <v>0</v>
      </c>
      <c r="J80" s="38">
        <f t="shared" si="24"/>
        <v>0</v>
      </c>
      <c r="K80" s="38">
        <v>0</v>
      </c>
      <c r="L80" s="38">
        <v>0</v>
      </c>
      <c r="M80" s="38">
        <f t="shared" si="25"/>
        <v>0</v>
      </c>
      <c r="N80" s="38">
        <v>25032</v>
      </c>
      <c r="O80" s="38">
        <v>25032</v>
      </c>
      <c r="P80" s="38">
        <f t="shared" si="26"/>
        <v>0</v>
      </c>
      <c r="Q80" s="38">
        <v>0</v>
      </c>
      <c r="R80" s="38">
        <v>0</v>
      </c>
      <c r="S80" s="38">
        <f t="shared" si="27"/>
        <v>0</v>
      </c>
      <c r="T80" s="38">
        <v>0</v>
      </c>
      <c r="U80" s="38">
        <v>0</v>
      </c>
      <c r="V80" s="38">
        <f t="shared" si="28"/>
        <v>0</v>
      </c>
      <c r="W80" s="38"/>
      <c r="X80" s="38"/>
      <c r="Y80" s="38">
        <f t="shared" si="29"/>
        <v>0</v>
      </c>
      <c r="Z80" s="38">
        <v>0</v>
      </c>
      <c r="AA80" s="38">
        <v>0</v>
      </c>
      <c r="AB80" s="38">
        <f t="shared" si="30"/>
        <v>0</v>
      </c>
      <c r="AC80" s="38">
        <v>0</v>
      </c>
      <c r="AD80" s="38">
        <v>0</v>
      </c>
      <c r="AE80" s="38">
        <f t="shared" si="31"/>
        <v>0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 ht="31.5" x14ac:dyDescent="0.25">
      <c r="A81" s="35" t="s">
        <v>86</v>
      </c>
      <c r="B81" s="36">
        <v>2</v>
      </c>
      <c r="C81" s="36">
        <v>619</v>
      </c>
      <c r="D81" s="36">
        <v>5100</v>
      </c>
      <c r="E81" s="38">
        <f t="shared" si="23"/>
        <v>150000</v>
      </c>
      <c r="F81" s="38">
        <f t="shared" si="23"/>
        <v>171812</v>
      </c>
      <c r="G81" s="38">
        <f t="shared" si="23"/>
        <v>21812</v>
      </c>
      <c r="H81" s="38">
        <v>0</v>
      </c>
      <c r="I81" s="38">
        <v>0</v>
      </c>
      <c r="J81" s="38">
        <f t="shared" si="24"/>
        <v>0</v>
      </c>
      <c r="K81" s="38">
        <v>0</v>
      </c>
      <c r="L81" s="38">
        <v>0</v>
      </c>
      <c r="M81" s="38">
        <f t="shared" si="25"/>
        <v>0</v>
      </c>
      <c r="N81" s="38">
        <v>50000</v>
      </c>
      <c r="O81" s="38">
        <f>50000+10000+12000+56510+36495+6807</f>
        <v>171812</v>
      </c>
      <c r="P81" s="38">
        <f t="shared" si="26"/>
        <v>121812</v>
      </c>
      <c r="Q81" s="38">
        <v>0</v>
      </c>
      <c r="R81" s="38">
        <v>0</v>
      </c>
      <c r="S81" s="38">
        <f t="shared" si="27"/>
        <v>0</v>
      </c>
      <c r="T81" s="38">
        <v>0</v>
      </c>
      <c r="U81" s="38">
        <v>0</v>
      </c>
      <c r="V81" s="38">
        <f t="shared" si="28"/>
        <v>0</v>
      </c>
      <c r="W81" s="38"/>
      <c r="X81" s="38"/>
      <c r="Y81" s="38">
        <f t="shared" si="29"/>
        <v>0</v>
      </c>
      <c r="Z81" s="38">
        <v>0</v>
      </c>
      <c r="AA81" s="38">
        <v>0</v>
      </c>
      <c r="AB81" s="38">
        <f t="shared" si="30"/>
        <v>0</v>
      </c>
      <c r="AC81" s="38">
        <v>100000</v>
      </c>
      <c r="AD81" s="38">
        <v>0</v>
      </c>
      <c r="AE81" s="38">
        <f t="shared" si="31"/>
        <v>-100000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 x14ac:dyDescent="0.25">
      <c r="A82" s="39" t="s">
        <v>87</v>
      </c>
      <c r="B82" s="37"/>
      <c r="C82" s="37"/>
      <c r="D82" s="40"/>
      <c r="E82" s="38">
        <f t="shared" si="23"/>
        <v>500000</v>
      </c>
      <c r="F82" s="38">
        <f t="shared" si="23"/>
        <v>500000</v>
      </c>
      <c r="G82" s="38">
        <f t="shared" si="23"/>
        <v>0</v>
      </c>
      <c r="H82" s="38">
        <v>0</v>
      </c>
      <c r="I82" s="38">
        <v>0</v>
      </c>
      <c r="J82" s="38">
        <f t="shared" si="24"/>
        <v>0</v>
      </c>
      <c r="K82" s="38">
        <v>0</v>
      </c>
      <c r="L82" s="38">
        <v>0</v>
      </c>
      <c r="M82" s="38">
        <f t="shared" si="25"/>
        <v>0</v>
      </c>
      <c r="N82" s="38"/>
      <c r="O82" s="38"/>
      <c r="P82" s="38">
        <f t="shared" si="26"/>
        <v>0</v>
      </c>
      <c r="Q82" s="38">
        <v>0</v>
      </c>
      <c r="R82" s="38">
        <v>0</v>
      </c>
      <c r="S82" s="38">
        <f t="shared" si="27"/>
        <v>0</v>
      </c>
      <c r="T82" s="38">
        <v>0</v>
      </c>
      <c r="U82" s="38">
        <v>0</v>
      </c>
      <c r="V82" s="38">
        <f t="shared" si="28"/>
        <v>0</v>
      </c>
      <c r="W82" s="38">
        <v>0</v>
      </c>
      <c r="X82" s="38">
        <v>0</v>
      </c>
      <c r="Y82" s="38">
        <f t="shared" si="29"/>
        <v>0</v>
      </c>
      <c r="Z82" s="38">
        <v>0</v>
      </c>
      <c r="AA82" s="38">
        <v>0</v>
      </c>
      <c r="AB82" s="38">
        <f t="shared" si="30"/>
        <v>0</v>
      </c>
      <c r="AC82" s="38">
        <v>500000</v>
      </c>
      <c r="AD82" s="38">
        <v>500000</v>
      </c>
      <c r="AE82" s="38">
        <f t="shared" si="31"/>
        <v>0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 ht="63" x14ac:dyDescent="0.25">
      <c r="A83" s="39" t="s">
        <v>88</v>
      </c>
      <c r="B83" s="37">
        <v>2</v>
      </c>
      <c r="C83" s="37">
        <v>606</v>
      </c>
      <c r="D83" s="40">
        <v>5100</v>
      </c>
      <c r="E83" s="38">
        <f t="shared" si="23"/>
        <v>600880</v>
      </c>
      <c r="F83" s="38">
        <f t="shared" si="23"/>
        <v>812929</v>
      </c>
      <c r="G83" s="38">
        <f t="shared" si="23"/>
        <v>212049</v>
      </c>
      <c r="H83" s="38">
        <v>0</v>
      </c>
      <c r="I83" s="38">
        <f>573484+212049</f>
        <v>785533</v>
      </c>
      <c r="J83" s="38">
        <f t="shared" si="24"/>
        <v>785533</v>
      </c>
      <c r="K83" s="38">
        <v>0</v>
      </c>
      <c r="L83" s="38">
        <v>0</v>
      </c>
      <c r="M83" s="38">
        <f t="shared" si="25"/>
        <v>0</v>
      </c>
      <c r="N83" s="38">
        <v>573484</v>
      </c>
      <c r="O83" s="38">
        <f>573484-573484</f>
        <v>0</v>
      </c>
      <c r="P83" s="38">
        <f t="shared" si="26"/>
        <v>-573484</v>
      </c>
      <c r="Q83" s="38">
        <v>0</v>
      </c>
      <c r="R83" s="38">
        <v>0</v>
      </c>
      <c r="S83" s="38">
        <f t="shared" si="27"/>
        <v>0</v>
      </c>
      <c r="T83" s="38">
        <v>0</v>
      </c>
      <c r="U83" s="38">
        <v>0</v>
      </c>
      <c r="V83" s="38">
        <f t="shared" si="28"/>
        <v>0</v>
      </c>
      <c r="W83" s="38">
        <f>27396</f>
        <v>27396</v>
      </c>
      <c r="X83" s="38">
        <f>27396</f>
        <v>27396</v>
      </c>
      <c r="Y83" s="38">
        <f t="shared" si="29"/>
        <v>0</v>
      </c>
      <c r="Z83" s="38">
        <v>0</v>
      </c>
      <c r="AA83" s="38">
        <v>0</v>
      </c>
      <c r="AB83" s="38">
        <f t="shared" si="30"/>
        <v>0</v>
      </c>
      <c r="AC83" s="38"/>
      <c r="AD83" s="38"/>
      <c r="AE83" s="38">
        <f t="shared" si="31"/>
        <v>0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 ht="27.75" customHeight="1" x14ac:dyDescent="0.25">
      <c r="A84" s="39" t="s">
        <v>89</v>
      </c>
      <c r="B84" s="37">
        <v>2</v>
      </c>
      <c r="C84" s="37">
        <v>604</v>
      </c>
      <c r="D84" s="40">
        <v>5100</v>
      </c>
      <c r="E84" s="38">
        <f t="shared" si="23"/>
        <v>44404</v>
      </c>
      <c r="F84" s="38">
        <f t="shared" si="23"/>
        <v>44404</v>
      </c>
      <c r="G84" s="38">
        <f t="shared" si="23"/>
        <v>0</v>
      </c>
      <c r="H84" s="38">
        <v>0</v>
      </c>
      <c r="I84" s="38">
        <v>0</v>
      </c>
      <c r="J84" s="38">
        <f t="shared" si="24"/>
        <v>0</v>
      </c>
      <c r="K84" s="38">
        <v>0</v>
      </c>
      <c r="L84" s="38">
        <v>0</v>
      </c>
      <c r="M84" s="38">
        <f t="shared" si="25"/>
        <v>0</v>
      </c>
      <c r="N84" s="38">
        <v>0</v>
      </c>
      <c r="O84" s="38">
        <v>0</v>
      </c>
      <c r="P84" s="38">
        <f t="shared" si="26"/>
        <v>0</v>
      </c>
      <c r="Q84" s="38">
        <v>0</v>
      </c>
      <c r="R84" s="38">
        <v>0</v>
      </c>
      <c r="S84" s="38">
        <f t="shared" si="27"/>
        <v>0</v>
      </c>
      <c r="T84" s="38">
        <v>0</v>
      </c>
      <c r="U84" s="38">
        <v>0</v>
      </c>
      <c r="V84" s="38">
        <f t="shared" si="28"/>
        <v>0</v>
      </c>
      <c r="W84" s="38">
        <v>44404</v>
      </c>
      <c r="X84" s="38">
        <v>44404</v>
      </c>
      <c r="Y84" s="38">
        <f t="shared" si="29"/>
        <v>0</v>
      </c>
      <c r="Z84" s="38">
        <v>0</v>
      </c>
      <c r="AA84" s="38">
        <v>0</v>
      </c>
      <c r="AB84" s="38">
        <f t="shared" si="30"/>
        <v>0</v>
      </c>
      <c r="AC84" s="38">
        <v>0</v>
      </c>
      <c r="AD84" s="38">
        <v>0</v>
      </c>
      <c r="AE84" s="38">
        <f t="shared" si="31"/>
        <v>0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 ht="78.75" x14ac:dyDescent="0.25">
      <c r="A85" s="39" t="s">
        <v>90</v>
      </c>
      <c r="B85" s="37">
        <v>2</v>
      </c>
      <c r="C85" s="37">
        <v>604</v>
      </c>
      <c r="D85" s="40">
        <v>5100</v>
      </c>
      <c r="E85" s="38">
        <f t="shared" si="23"/>
        <v>76154</v>
      </c>
      <c r="F85" s="38">
        <f t="shared" si="23"/>
        <v>76154</v>
      </c>
      <c r="G85" s="38">
        <f t="shared" si="23"/>
        <v>0</v>
      </c>
      <c r="H85" s="38">
        <v>0</v>
      </c>
      <c r="I85" s="38">
        <v>0</v>
      </c>
      <c r="J85" s="38">
        <f t="shared" si="24"/>
        <v>0</v>
      </c>
      <c r="K85" s="38">
        <v>0</v>
      </c>
      <c r="L85" s="38">
        <v>0</v>
      </c>
      <c r="M85" s="38">
        <f t="shared" si="25"/>
        <v>0</v>
      </c>
      <c r="N85" s="38">
        <v>76154</v>
      </c>
      <c r="O85" s="38">
        <v>76154</v>
      </c>
      <c r="P85" s="38">
        <f t="shared" si="26"/>
        <v>0</v>
      </c>
      <c r="Q85" s="38">
        <v>0</v>
      </c>
      <c r="R85" s="38">
        <v>0</v>
      </c>
      <c r="S85" s="38">
        <f t="shared" si="27"/>
        <v>0</v>
      </c>
      <c r="T85" s="38">
        <v>0</v>
      </c>
      <c r="U85" s="38">
        <v>0</v>
      </c>
      <c r="V85" s="38">
        <f t="shared" si="28"/>
        <v>0</v>
      </c>
      <c r="W85" s="38"/>
      <c r="X85" s="38"/>
      <c r="Y85" s="38">
        <f t="shared" si="29"/>
        <v>0</v>
      </c>
      <c r="Z85" s="38">
        <v>0</v>
      </c>
      <c r="AA85" s="38">
        <v>0</v>
      </c>
      <c r="AB85" s="38">
        <f t="shared" si="30"/>
        <v>0</v>
      </c>
      <c r="AC85" s="38">
        <v>0</v>
      </c>
      <c r="AD85" s="38">
        <v>0</v>
      </c>
      <c r="AE85" s="38">
        <f t="shared" si="31"/>
        <v>0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 ht="94.5" x14ac:dyDescent="0.25">
      <c r="A86" s="39" t="s">
        <v>91</v>
      </c>
      <c r="B86" s="37">
        <v>2</v>
      </c>
      <c r="C86" s="37">
        <v>604</v>
      </c>
      <c r="D86" s="40">
        <v>5100</v>
      </c>
      <c r="E86" s="38">
        <f t="shared" si="23"/>
        <v>243065</v>
      </c>
      <c r="F86" s="38">
        <f t="shared" si="23"/>
        <v>243065</v>
      </c>
      <c r="G86" s="38">
        <f t="shared" si="23"/>
        <v>0</v>
      </c>
      <c r="H86" s="38">
        <v>0</v>
      </c>
      <c r="I86" s="38">
        <v>0</v>
      </c>
      <c r="J86" s="38">
        <f t="shared" si="24"/>
        <v>0</v>
      </c>
      <c r="K86" s="38">
        <v>0</v>
      </c>
      <c r="L86" s="38">
        <v>0</v>
      </c>
      <c r="M86" s="38">
        <f t="shared" si="25"/>
        <v>0</v>
      </c>
      <c r="N86" s="38">
        <v>243065</v>
      </c>
      <c r="O86" s="38">
        <v>243065</v>
      </c>
      <c r="P86" s="38">
        <f t="shared" si="26"/>
        <v>0</v>
      </c>
      <c r="Q86" s="38">
        <v>0</v>
      </c>
      <c r="R86" s="38">
        <v>0</v>
      </c>
      <c r="S86" s="38">
        <f t="shared" si="27"/>
        <v>0</v>
      </c>
      <c r="T86" s="38">
        <v>0</v>
      </c>
      <c r="U86" s="38">
        <v>0</v>
      </c>
      <c r="V86" s="38">
        <f t="shared" si="28"/>
        <v>0</v>
      </c>
      <c r="W86" s="38"/>
      <c r="X86" s="38"/>
      <c r="Y86" s="38">
        <f t="shared" si="29"/>
        <v>0</v>
      </c>
      <c r="Z86" s="38">
        <v>0</v>
      </c>
      <c r="AA86" s="38">
        <v>0</v>
      </c>
      <c r="AB86" s="38">
        <f t="shared" si="30"/>
        <v>0</v>
      </c>
      <c r="AC86" s="38">
        <v>0</v>
      </c>
      <c r="AD86" s="38">
        <v>0</v>
      </c>
      <c r="AE86" s="38">
        <f t="shared" si="31"/>
        <v>0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 ht="78.75" x14ac:dyDescent="0.25">
      <c r="A87" s="39" t="s">
        <v>92</v>
      </c>
      <c r="B87" s="37">
        <v>2</v>
      </c>
      <c r="C87" s="37">
        <v>604</v>
      </c>
      <c r="D87" s="40">
        <v>5100</v>
      </c>
      <c r="E87" s="38">
        <f t="shared" si="23"/>
        <v>120120</v>
      </c>
      <c r="F87" s="38">
        <f t="shared" si="23"/>
        <v>120120</v>
      </c>
      <c r="G87" s="38">
        <f t="shared" si="23"/>
        <v>0</v>
      </c>
      <c r="H87" s="38">
        <v>0</v>
      </c>
      <c r="I87" s="38">
        <v>0</v>
      </c>
      <c r="J87" s="38">
        <f t="shared" si="24"/>
        <v>0</v>
      </c>
      <c r="K87" s="38">
        <v>0</v>
      </c>
      <c r="L87" s="38">
        <v>0</v>
      </c>
      <c r="M87" s="38">
        <f t="shared" si="25"/>
        <v>0</v>
      </c>
      <c r="N87" s="38">
        <v>120120</v>
      </c>
      <c r="O87" s="38">
        <v>120120</v>
      </c>
      <c r="P87" s="38">
        <f t="shared" si="26"/>
        <v>0</v>
      </c>
      <c r="Q87" s="38">
        <v>0</v>
      </c>
      <c r="R87" s="38">
        <v>0</v>
      </c>
      <c r="S87" s="38">
        <f t="shared" si="27"/>
        <v>0</v>
      </c>
      <c r="T87" s="38">
        <v>0</v>
      </c>
      <c r="U87" s="38">
        <v>0</v>
      </c>
      <c r="V87" s="38">
        <f t="shared" si="28"/>
        <v>0</v>
      </c>
      <c r="W87" s="38"/>
      <c r="X87" s="38"/>
      <c r="Y87" s="38">
        <f t="shared" si="29"/>
        <v>0</v>
      </c>
      <c r="Z87" s="38">
        <v>0</v>
      </c>
      <c r="AA87" s="38">
        <v>0</v>
      </c>
      <c r="AB87" s="38">
        <f t="shared" si="30"/>
        <v>0</v>
      </c>
      <c r="AC87" s="38">
        <v>0</v>
      </c>
      <c r="AD87" s="38">
        <v>0</v>
      </c>
      <c r="AE87" s="38">
        <f t="shared" si="31"/>
        <v>0</v>
      </c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 ht="47.25" x14ac:dyDescent="0.25">
      <c r="A88" s="39" t="s">
        <v>93</v>
      </c>
      <c r="B88" s="37">
        <v>2</v>
      </c>
      <c r="C88" s="37">
        <v>619</v>
      </c>
      <c r="D88" s="40">
        <v>5100</v>
      </c>
      <c r="E88" s="38">
        <f t="shared" si="23"/>
        <v>28809</v>
      </c>
      <c r="F88" s="38">
        <f t="shared" si="23"/>
        <v>28809</v>
      </c>
      <c r="G88" s="38">
        <f t="shared" si="23"/>
        <v>0</v>
      </c>
      <c r="H88" s="38">
        <v>0</v>
      </c>
      <c r="I88" s="38">
        <v>0</v>
      </c>
      <c r="J88" s="38">
        <f t="shared" si="24"/>
        <v>0</v>
      </c>
      <c r="K88" s="38">
        <v>0</v>
      </c>
      <c r="L88" s="38">
        <v>0</v>
      </c>
      <c r="M88" s="38">
        <f t="shared" si="25"/>
        <v>0</v>
      </c>
      <c r="N88" s="38">
        <v>28809</v>
      </c>
      <c r="O88" s="38">
        <v>28809</v>
      </c>
      <c r="P88" s="38">
        <f t="shared" si="26"/>
        <v>0</v>
      </c>
      <c r="Q88" s="38">
        <v>0</v>
      </c>
      <c r="R88" s="38">
        <v>0</v>
      </c>
      <c r="S88" s="38">
        <f t="shared" si="27"/>
        <v>0</v>
      </c>
      <c r="T88" s="38">
        <v>0</v>
      </c>
      <c r="U88" s="38">
        <v>0</v>
      </c>
      <c r="V88" s="38">
        <f t="shared" si="28"/>
        <v>0</v>
      </c>
      <c r="W88" s="38"/>
      <c r="X88" s="38"/>
      <c r="Y88" s="38">
        <f t="shared" si="29"/>
        <v>0</v>
      </c>
      <c r="Z88" s="38">
        <v>0</v>
      </c>
      <c r="AA88" s="38">
        <v>0</v>
      </c>
      <c r="AB88" s="38">
        <f t="shared" si="30"/>
        <v>0</v>
      </c>
      <c r="AC88" s="38">
        <v>0</v>
      </c>
      <c r="AD88" s="38">
        <v>0</v>
      </c>
      <c r="AE88" s="38">
        <f t="shared" si="31"/>
        <v>0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 ht="157.5" x14ac:dyDescent="0.25">
      <c r="A89" s="29" t="s">
        <v>94</v>
      </c>
      <c r="B89" s="36">
        <v>2</v>
      </c>
      <c r="C89" s="36">
        <v>603</v>
      </c>
      <c r="D89" s="40">
        <v>5100</v>
      </c>
      <c r="E89" s="38">
        <f t="shared" si="23"/>
        <v>3653326</v>
      </c>
      <c r="F89" s="38">
        <f t="shared" si="23"/>
        <v>3653326</v>
      </c>
      <c r="G89" s="38">
        <f t="shared" si="23"/>
        <v>0</v>
      </c>
      <c r="H89" s="38">
        <f>1456246</f>
        <v>1456246</v>
      </c>
      <c r="I89" s="38">
        <f>158334</f>
        <v>158334</v>
      </c>
      <c r="J89" s="38">
        <f t="shared" si="24"/>
        <v>-1297912</v>
      </c>
      <c r="K89" s="38">
        <f>291250+291250</f>
        <v>582500</v>
      </c>
      <c r="L89" s="38">
        <f>291250+291250</f>
        <v>582500</v>
      </c>
      <c r="M89" s="38">
        <f t="shared" si="25"/>
        <v>0</v>
      </c>
      <c r="N89" s="38">
        <f>17201+10390+21180+68306+41257</f>
        <v>158334</v>
      </c>
      <c r="O89" s="38">
        <f>17201+10390+21180+68306+41257-158334</f>
        <v>0</v>
      </c>
      <c r="P89" s="38">
        <f t="shared" si="26"/>
        <v>-158334</v>
      </c>
      <c r="Q89" s="38">
        <v>0</v>
      </c>
      <c r="R89" s="38">
        <v>0</v>
      </c>
      <c r="S89" s="38">
        <f t="shared" si="27"/>
        <v>0</v>
      </c>
      <c r="T89" s="38">
        <v>0</v>
      </c>
      <c r="U89" s="38">
        <v>0</v>
      </c>
      <c r="V89" s="38">
        <f t="shared" si="28"/>
        <v>0</v>
      </c>
      <c r="W89" s="38">
        <v>1456246</v>
      </c>
      <c r="X89" s="38">
        <v>1456246</v>
      </c>
      <c r="Y89" s="38">
        <f t="shared" si="29"/>
        <v>0</v>
      </c>
      <c r="Z89" s="38"/>
      <c r="AA89" s="38"/>
      <c r="AB89" s="38">
        <f t="shared" si="30"/>
        <v>0</v>
      </c>
      <c r="AC89" s="38"/>
      <c r="AD89" s="38">
        <v>1456246</v>
      </c>
      <c r="AE89" s="38">
        <f t="shared" si="31"/>
        <v>1456246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 ht="157.5" x14ac:dyDescent="0.25">
      <c r="A90" s="29" t="s">
        <v>95</v>
      </c>
      <c r="B90" s="36"/>
      <c r="C90" s="36"/>
      <c r="D90" s="40"/>
      <c r="E90" s="38">
        <f t="shared" si="23"/>
        <v>8445869</v>
      </c>
      <c r="F90" s="38">
        <f t="shared" si="23"/>
        <v>8445869</v>
      </c>
      <c r="G90" s="38">
        <f t="shared" si="23"/>
        <v>0</v>
      </c>
      <c r="H90" s="38">
        <v>0</v>
      </c>
      <c r="I90" s="38">
        <v>0</v>
      </c>
      <c r="J90" s="38">
        <f t="shared" si="24"/>
        <v>0</v>
      </c>
      <c r="K90" s="38">
        <v>0</v>
      </c>
      <c r="L90" s="38">
        <v>0</v>
      </c>
      <c r="M90" s="38">
        <f t="shared" si="25"/>
        <v>0</v>
      </c>
      <c r="N90" s="38">
        <v>0</v>
      </c>
      <c r="O90" s="38">
        <v>0</v>
      </c>
      <c r="P90" s="38">
        <f t="shared" si="26"/>
        <v>0</v>
      </c>
      <c r="Q90" s="38">
        <v>8445869</v>
      </c>
      <c r="R90" s="38">
        <v>8445869</v>
      </c>
      <c r="S90" s="38">
        <f t="shared" si="27"/>
        <v>0</v>
      </c>
      <c r="T90" s="38">
        <v>0</v>
      </c>
      <c r="U90" s="38">
        <v>0</v>
      </c>
      <c r="V90" s="38">
        <f t="shared" si="28"/>
        <v>0</v>
      </c>
      <c r="W90" s="38">
        <v>0</v>
      </c>
      <c r="X90" s="38">
        <v>0</v>
      </c>
      <c r="Y90" s="38">
        <f t="shared" si="29"/>
        <v>0</v>
      </c>
      <c r="Z90" s="38">
        <v>0</v>
      </c>
      <c r="AA90" s="38">
        <v>0</v>
      </c>
      <c r="AB90" s="38">
        <f t="shared" si="30"/>
        <v>0</v>
      </c>
      <c r="AC90" s="38">
        <v>0</v>
      </c>
      <c r="AD90" s="38">
        <v>0</v>
      </c>
      <c r="AE90" s="38">
        <f t="shared" si="31"/>
        <v>0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</row>
    <row r="91" spans="1:255" ht="31.5" x14ac:dyDescent="0.25">
      <c r="A91" s="39" t="s">
        <v>96</v>
      </c>
      <c r="B91" s="37">
        <v>2</v>
      </c>
      <c r="C91" s="37">
        <v>606</v>
      </c>
      <c r="D91" s="40">
        <v>5100</v>
      </c>
      <c r="E91" s="38">
        <f t="shared" si="23"/>
        <v>37044</v>
      </c>
      <c r="F91" s="38">
        <f t="shared" si="23"/>
        <v>37044</v>
      </c>
      <c r="G91" s="38">
        <f t="shared" si="23"/>
        <v>0</v>
      </c>
      <c r="H91" s="38">
        <v>0</v>
      </c>
      <c r="I91" s="38">
        <v>0</v>
      </c>
      <c r="J91" s="38">
        <f t="shared" si="24"/>
        <v>0</v>
      </c>
      <c r="K91" s="38">
        <v>0</v>
      </c>
      <c r="L91" s="38">
        <v>0</v>
      </c>
      <c r="M91" s="38">
        <f t="shared" si="25"/>
        <v>0</v>
      </c>
      <c r="N91" s="38">
        <v>37044</v>
      </c>
      <c r="O91" s="38">
        <v>37044</v>
      </c>
      <c r="P91" s="38">
        <f t="shared" si="26"/>
        <v>0</v>
      </c>
      <c r="Q91" s="38">
        <v>0</v>
      </c>
      <c r="R91" s="38">
        <v>0</v>
      </c>
      <c r="S91" s="38">
        <f t="shared" si="27"/>
        <v>0</v>
      </c>
      <c r="T91" s="38">
        <v>0</v>
      </c>
      <c r="U91" s="38">
        <v>0</v>
      </c>
      <c r="V91" s="38">
        <f t="shared" si="28"/>
        <v>0</v>
      </c>
      <c r="W91" s="38">
        <v>0</v>
      </c>
      <c r="X91" s="38">
        <v>0</v>
      </c>
      <c r="Y91" s="38">
        <f t="shared" si="29"/>
        <v>0</v>
      </c>
      <c r="Z91" s="38">
        <v>0</v>
      </c>
      <c r="AA91" s="38">
        <v>0</v>
      </c>
      <c r="AB91" s="38">
        <f t="shared" si="30"/>
        <v>0</v>
      </c>
      <c r="AC91" s="38">
        <v>0</v>
      </c>
      <c r="AD91" s="38">
        <v>0</v>
      </c>
      <c r="AE91" s="38">
        <f t="shared" si="31"/>
        <v>0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92" spans="1:255" ht="31.5" x14ac:dyDescent="0.25">
      <c r="A92" s="26" t="s">
        <v>97</v>
      </c>
      <c r="B92" s="34"/>
      <c r="C92" s="34"/>
      <c r="D92" s="40">
        <v>5100</v>
      </c>
      <c r="E92" s="27">
        <f t="shared" si="23"/>
        <v>3038810</v>
      </c>
      <c r="F92" s="27">
        <f t="shared" si="23"/>
        <v>3060451</v>
      </c>
      <c r="G92" s="27">
        <f t="shared" si="23"/>
        <v>21641</v>
      </c>
      <c r="H92" s="27">
        <f>SUM(H93)</f>
        <v>0</v>
      </c>
      <c r="I92" s="27">
        <f>SUM(I93)</f>
        <v>0</v>
      </c>
      <c r="J92" s="27">
        <f t="shared" si="24"/>
        <v>0</v>
      </c>
      <c r="K92" s="27">
        <f>SUM(K93)</f>
        <v>0</v>
      </c>
      <c r="L92" s="27">
        <f>SUM(L93)</f>
        <v>0</v>
      </c>
      <c r="M92" s="27">
        <f t="shared" si="25"/>
        <v>0</v>
      </c>
      <c r="N92" s="27">
        <f>SUM(N93)</f>
        <v>364791</v>
      </c>
      <c r="O92" s="27">
        <f>SUM(O93)</f>
        <v>386432</v>
      </c>
      <c r="P92" s="27">
        <f t="shared" si="26"/>
        <v>21641</v>
      </c>
      <c r="Q92" s="27">
        <f>SUM(Q93)</f>
        <v>2563179</v>
      </c>
      <c r="R92" s="27">
        <f>SUM(R93)</f>
        <v>2563179</v>
      </c>
      <c r="S92" s="27">
        <f t="shared" si="27"/>
        <v>0</v>
      </c>
      <c r="T92" s="27">
        <f>SUM(T93)</f>
        <v>0</v>
      </c>
      <c r="U92" s="27">
        <f>SUM(U93)</f>
        <v>0</v>
      </c>
      <c r="V92" s="27">
        <f t="shared" si="28"/>
        <v>0</v>
      </c>
      <c r="W92" s="27">
        <f>SUM(W93)</f>
        <v>30840</v>
      </c>
      <c r="X92" s="27">
        <f>SUM(X93)</f>
        <v>30840</v>
      </c>
      <c r="Y92" s="27">
        <f t="shared" si="29"/>
        <v>0</v>
      </c>
      <c r="Z92" s="27">
        <f>SUM(Z93)</f>
        <v>0</v>
      </c>
      <c r="AA92" s="27">
        <f>SUM(AA93)</f>
        <v>0</v>
      </c>
      <c r="AB92" s="27">
        <f t="shared" si="30"/>
        <v>0</v>
      </c>
      <c r="AC92" s="27">
        <f>SUM(AC93)</f>
        <v>80000</v>
      </c>
      <c r="AD92" s="27">
        <f>SUM(AD93)</f>
        <v>80000</v>
      </c>
      <c r="AE92" s="27">
        <f t="shared" si="31"/>
        <v>0</v>
      </c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</row>
    <row r="93" spans="1:255" x14ac:dyDescent="0.25">
      <c r="A93" s="26" t="s">
        <v>20</v>
      </c>
      <c r="B93" s="34"/>
      <c r="C93" s="34"/>
      <c r="D93" s="40">
        <v>5100</v>
      </c>
      <c r="E93" s="27">
        <f t="shared" si="23"/>
        <v>3038810</v>
      </c>
      <c r="F93" s="27">
        <f t="shared" si="23"/>
        <v>3060451</v>
      </c>
      <c r="G93" s="27">
        <f t="shared" si="23"/>
        <v>21641</v>
      </c>
      <c r="H93" s="27">
        <f>SUM(H94:H99)</f>
        <v>0</v>
      </c>
      <c r="I93" s="27">
        <f>SUM(I94:I99)</f>
        <v>0</v>
      </c>
      <c r="J93" s="27">
        <f t="shared" si="24"/>
        <v>0</v>
      </c>
      <c r="K93" s="27">
        <f>SUM(K94:K99)</f>
        <v>0</v>
      </c>
      <c r="L93" s="27">
        <f>SUM(L94:L99)</f>
        <v>0</v>
      </c>
      <c r="M93" s="27">
        <f t="shared" si="25"/>
        <v>0</v>
      </c>
      <c r="N93" s="27">
        <f>SUM(N94:N99)</f>
        <v>364791</v>
      </c>
      <c r="O93" s="27">
        <f>SUM(O94:O99)</f>
        <v>386432</v>
      </c>
      <c r="P93" s="27">
        <f t="shared" si="26"/>
        <v>21641</v>
      </c>
      <c r="Q93" s="27">
        <f>SUM(Q94:Q99)</f>
        <v>2563179</v>
      </c>
      <c r="R93" s="27">
        <f>SUM(R94:R99)</f>
        <v>2563179</v>
      </c>
      <c r="S93" s="27">
        <f t="shared" si="27"/>
        <v>0</v>
      </c>
      <c r="T93" s="27">
        <f>SUM(T94:T99)</f>
        <v>0</v>
      </c>
      <c r="U93" s="27">
        <f>SUM(U94:U99)</f>
        <v>0</v>
      </c>
      <c r="V93" s="27">
        <f t="shared" si="28"/>
        <v>0</v>
      </c>
      <c r="W93" s="27">
        <f>SUM(W94:W99)</f>
        <v>30840</v>
      </c>
      <c r="X93" s="27">
        <f>SUM(X94:X99)</f>
        <v>30840</v>
      </c>
      <c r="Y93" s="27">
        <f t="shared" si="29"/>
        <v>0</v>
      </c>
      <c r="Z93" s="27">
        <f>SUM(Z94:Z99)</f>
        <v>0</v>
      </c>
      <c r="AA93" s="27">
        <f>SUM(AA94:AA99)</f>
        <v>0</v>
      </c>
      <c r="AB93" s="27">
        <f t="shared" si="30"/>
        <v>0</v>
      </c>
      <c r="AC93" s="27">
        <f>SUM(AC94:AC99)</f>
        <v>80000</v>
      </c>
      <c r="AD93" s="27">
        <f>SUM(AD94:AD99)</f>
        <v>80000</v>
      </c>
      <c r="AE93" s="27">
        <f t="shared" si="31"/>
        <v>0</v>
      </c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</row>
    <row r="94" spans="1:255" x14ac:dyDescent="0.25">
      <c r="A94" s="39" t="s">
        <v>98</v>
      </c>
      <c r="B94" s="37">
        <v>2</v>
      </c>
      <c r="C94" s="37">
        <v>759</v>
      </c>
      <c r="D94" s="40">
        <v>5100</v>
      </c>
      <c r="E94" s="38">
        <f t="shared" si="23"/>
        <v>85631</v>
      </c>
      <c r="F94" s="38">
        <f t="shared" si="23"/>
        <v>85631</v>
      </c>
      <c r="G94" s="38">
        <f t="shared" si="23"/>
        <v>0</v>
      </c>
      <c r="H94" s="38">
        <v>0</v>
      </c>
      <c r="I94" s="38">
        <v>0</v>
      </c>
      <c r="J94" s="38">
        <f t="shared" si="24"/>
        <v>0</v>
      </c>
      <c r="K94" s="38">
        <v>0</v>
      </c>
      <c r="L94" s="38">
        <v>0</v>
      </c>
      <c r="M94" s="38">
        <f t="shared" si="25"/>
        <v>0</v>
      </c>
      <c r="N94" s="38">
        <v>54791</v>
      </c>
      <c r="O94" s="38">
        <v>54791</v>
      </c>
      <c r="P94" s="38">
        <f t="shared" si="26"/>
        <v>0</v>
      </c>
      <c r="Q94" s="38">
        <v>0</v>
      </c>
      <c r="R94" s="38">
        <v>0</v>
      </c>
      <c r="S94" s="38">
        <f t="shared" si="27"/>
        <v>0</v>
      </c>
      <c r="T94" s="38">
        <v>0</v>
      </c>
      <c r="U94" s="38">
        <v>0</v>
      </c>
      <c r="V94" s="38">
        <f t="shared" si="28"/>
        <v>0</v>
      </c>
      <c r="W94" s="38">
        <f>30840</f>
        <v>30840</v>
      </c>
      <c r="X94" s="38">
        <f>30840</f>
        <v>30840</v>
      </c>
      <c r="Y94" s="38">
        <f t="shared" si="29"/>
        <v>0</v>
      </c>
      <c r="Z94" s="38">
        <v>0</v>
      </c>
      <c r="AA94" s="38">
        <v>0</v>
      </c>
      <c r="AB94" s="38">
        <f t="shared" si="30"/>
        <v>0</v>
      </c>
      <c r="AC94" s="38">
        <v>0</v>
      </c>
      <c r="AD94" s="38">
        <v>0</v>
      </c>
      <c r="AE94" s="38">
        <f t="shared" si="31"/>
        <v>0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</row>
    <row r="95" spans="1:255" s="7" customFormat="1" ht="31.5" x14ac:dyDescent="0.25">
      <c r="A95" s="39" t="s">
        <v>99</v>
      </c>
      <c r="B95" s="37">
        <v>2</v>
      </c>
      <c r="C95" s="37">
        <v>714</v>
      </c>
      <c r="D95" s="40">
        <v>5100</v>
      </c>
      <c r="E95" s="38">
        <f t="shared" si="23"/>
        <v>0</v>
      </c>
      <c r="F95" s="38">
        <f t="shared" si="23"/>
        <v>21641</v>
      </c>
      <c r="G95" s="38">
        <f t="shared" si="23"/>
        <v>21641</v>
      </c>
      <c r="H95" s="38">
        <v>0</v>
      </c>
      <c r="I95" s="38">
        <v>0</v>
      </c>
      <c r="J95" s="38">
        <f t="shared" si="24"/>
        <v>0</v>
      </c>
      <c r="K95" s="38">
        <v>0</v>
      </c>
      <c r="L95" s="38">
        <v>0</v>
      </c>
      <c r="M95" s="38">
        <f t="shared" si="25"/>
        <v>0</v>
      </c>
      <c r="N95" s="38"/>
      <c r="O95" s="38">
        <v>21641</v>
      </c>
      <c r="P95" s="38">
        <f t="shared" si="26"/>
        <v>21641</v>
      </c>
      <c r="Q95" s="38">
        <v>0</v>
      </c>
      <c r="R95" s="38">
        <v>0</v>
      </c>
      <c r="S95" s="38">
        <f t="shared" si="27"/>
        <v>0</v>
      </c>
      <c r="T95" s="38">
        <v>0</v>
      </c>
      <c r="U95" s="38">
        <v>0</v>
      </c>
      <c r="V95" s="38">
        <f t="shared" si="28"/>
        <v>0</v>
      </c>
      <c r="W95" s="38"/>
      <c r="X95" s="38"/>
      <c r="Y95" s="38">
        <f t="shared" si="29"/>
        <v>0</v>
      </c>
      <c r="Z95" s="38">
        <v>0</v>
      </c>
      <c r="AA95" s="38">
        <v>0</v>
      </c>
      <c r="AB95" s="38">
        <f t="shared" si="30"/>
        <v>0</v>
      </c>
      <c r="AC95" s="38">
        <v>0</v>
      </c>
      <c r="AD95" s="38">
        <v>0</v>
      </c>
      <c r="AE95" s="38">
        <f t="shared" si="31"/>
        <v>0</v>
      </c>
    </row>
    <row r="96" spans="1:255" ht="78.75" x14ac:dyDescent="0.25">
      <c r="A96" s="46" t="s">
        <v>100</v>
      </c>
      <c r="B96" s="37"/>
      <c r="C96" s="37"/>
      <c r="D96" s="40"/>
      <c r="E96" s="38">
        <f t="shared" si="23"/>
        <v>297000</v>
      </c>
      <c r="F96" s="38">
        <f t="shared" si="23"/>
        <v>297000</v>
      </c>
      <c r="G96" s="38">
        <f t="shared" si="23"/>
        <v>0</v>
      </c>
      <c r="H96" s="38">
        <v>0</v>
      </c>
      <c r="I96" s="38">
        <v>0</v>
      </c>
      <c r="J96" s="38">
        <f t="shared" si="24"/>
        <v>0</v>
      </c>
      <c r="K96" s="38">
        <v>0</v>
      </c>
      <c r="L96" s="38">
        <v>0</v>
      </c>
      <c r="M96" s="38">
        <f t="shared" si="25"/>
        <v>0</v>
      </c>
      <c r="N96" s="38">
        <v>0</v>
      </c>
      <c r="O96" s="38">
        <v>0</v>
      </c>
      <c r="P96" s="38">
        <f t="shared" si="26"/>
        <v>0</v>
      </c>
      <c r="Q96" s="38">
        <v>297000</v>
      </c>
      <c r="R96" s="38">
        <v>297000</v>
      </c>
      <c r="S96" s="38">
        <f t="shared" si="27"/>
        <v>0</v>
      </c>
      <c r="T96" s="38">
        <v>0</v>
      </c>
      <c r="U96" s="38">
        <v>0</v>
      </c>
      <c r="V96" s="38">
        <f t="shared" si="28"/>
        <v>0</v>
      </c>
      <c r="W96" s="38">
        <v>0</v>
      </c>
      <c r="X96" s="38">
        <v>0</v>
      </c>
      <c r="Y96" s="38">
        <f t="shared" si="29"/>
        <v>0</v>
      </c>
      <c r="Z96" s="38">
        <v>0</v>
      </c>
      <c r="AA96" s="38">
        <v>0</v>
      </c>
      <c r="AB96" s="38">
        <f t="shared" si="30"/>
        <v>0</v>
      </c>
      <c r="AC96" s="38">
        <v>0</v>
      </c>
      <c r="AD96" s="38">
        <v>0</v>
      </c>
      <c r="AE96" s="38">
        <f t="shared" si="31"/>
        <v>0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</row>
    <row r="97" spans="1:255" x14ac:dyDescent="0.25">
      <c r="A97" s="29" t="s">
        <v>101</v>
      </c>
      <c r="B97" s="30">
        <v>3</v>
      </c>
      <c r="C97" s="30">
        <v>751</v>
      </c>
      <c r="D97" s="30">
        <v>5100</v>
      </c>
      <c r="E97" s="31">
        <f t="shared" si="23"/>
        <v>310000</v>
      </c>
      <c r="F97" s="31">
        <f t="shared" si="23"/>
        <v>310000</v>
      </c>
      <c r="G97" s="31">
        <f t="shared" si="23"/>
        <v>0</v>
      </c>
      <c r="H97" s="31">
        <v>0</v>
      </c>
      <c r="I97" s="31">
        <v>0</v>
      </c>
      <c r="J97" s="31">
        <f t="shared" si="24"/>
        <v>0</v>
      </c>
      <c r="K97" s="31">
        <v>0</v>
      </c>
      <c r="L97" s="31">
        <v>0</v>
      </c>
      <c r="M97" s="31">
        <f t="shared" si="25"/>
        <v>0</v>
      </c>
      <c r="N97" s="31">
        <f>310000</f>
        <v>310000</v>
      </c>
      <c r="O97" s="31">
        <f>310000</f>
        <v>310000</v>
      </c>
      <c r="P97" s="31">
        <f t="shared" si="26"/>
        <v>0</v>
      </c>
      <c r="Q97" s="31">
        <v>0</v>
      </c>
      <c r="R97" s="31">
        <v>0</v>
      </c>
      <c r="S97" s="31">
        <f t="shared" si="27"/>
        <v>0</v>
      </c>
      <c r="T97" s="31">
        <v>0</v>
      </c>
      <c r="U97" s="31">
        <v>0</v>
      </c>
      <c r="V97" s="31">
        <f t="shared" si="28"/>
        <v>0</v>
      </c>
      <c r="W97" s="31">
        <v>0</v>
      </c>
      <c r="X97" s="31">
        <v>0</v>
      </c>
      <c r="Y97" s="31">
        <f t="shared" si="29"/>
        <v>0</v>
      </c>
      <c r="Z97" s="31">
        <v>0</v>
      </c>
      <c r="AA97" s="31">
        <v>0</v>
      </c>
      <c r="AB97" s="31">
        <f t="shared" si="30"/>
        <v>0</v>
      </c>
      <c r="AC97" s="31">
        <f>310000-310000</f>
        <v>0</v>
      </c>
      <c r="AD97" s="31">
        <f>310000-310000</f>
        <v>0</v>
      </c>
      <c r="AE97" s="31">
        <f t="shared" si="31"/>
        <v>0</v>
      </c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</row>
    <row r="98" spans="1:255" x14ac:dyDescent="0.25">
      <c r="A98" s="29" t="s">
        <v>102</v>
      </c>
      <c r="B98" s="30"/>
      <c r="C98" s="30"/>
      <c r="D98" s="30"/>
      <c r="E98" s="31">
        <f t="shared" si="23"/>
        <v>80000</v>
      </c>
      <c r="F98" s="31">
        <f t="shared" si="23"/>
        <v>80000</v>
      </c>
      <c r="G98" s="31">
        <f t="shared" si="23"/>
        <v>0</v>
      </c>
      <c r="H98" s="31">
        <v>0</v>
      </c>
      <c r="I98" s="31">
        <v>0</v>
      </c>
      <c r="J98" s="31">
        <f t="shared" si="24"/>
        <v>0</v>
      </c>
      <c r="K98" s="31">
        <v>0</v>
      </c>
      <c r="L98" s="31">
        <v>0</v>
      </c>
      <c r="M98" s="31">
        <f t="shared" si="25"/>
        <v>0</v>
      </c>
      <c r="N98" s="31">
        <f>80000-80000</f>
        <v>0</v>
      </c>
      <c r="O98" s="31">
        <f>80000-80000</f>
        <v>0</v>
      </c>
      <c r="P98" s="31">
        <f t="shared" si="26"/>
        <v>0</v>
      </c>
      <c r="Q98" s="31">
        <v>0</v>
      </c>
      <c r="R98" s="31">
        <v>0</v>
      </c>
      <c r="S98" s="31">
        <f t="shared" si="27"/>
        <v>0</v>
      </c>
      <c r="T98" s="31">
        <v>0</v>
      </c>
      <c r="U98" s="31">
        <v>0</v>
      </c>
      <c r="V98" s="31">
        <f t="shared" si="28"/>
        <v>0</v>
      </c>
      <c r="W98" s="31">
        <v>0</v>
      </c>
      <c r="X98" s="31">
        <v>0</v>
      </c>
      <c r="Y98" s="31">
        <f t="shared" si="29"/>
        <v>0</v>
      </c>
      <c r="Z98" s="31">
        <v>0</v>
      </c>
      <c r="AA98" s="31">
        <v>0</v>
      </c>
      <c r="AB98" s="31">
        <f t="shared" si="30"/>
        <v>0</v>
      </c>
      <c r="AC98" s="31">
        <f>0+80000</f>
        <v>80000</v>
      </c>
      <c r="AD98" s="31">
        <f>0+80000</f>
        <v>80000</v>
      </c>
      <c r="AE98" s="31">
        <f t="shared" si="31"/>
        <v>0</v>
      </c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</row>
    <row r="99" spans="1:255" ht="78.75" x14ac:dyDescent="0.25">
      <c r="A99" s="46" t="s">
        <v>103</v>
      </c>
      <c r="B99" s="37"/>
      <c r="C99" s="37"/>
      <c r="D99" s="40"/>
      <c r="E99" s="38">
        <f t="shared" si="23"/>
        <v>2266179</v>
      </c>
      <c r="F99" s="38">
        <f t="shared" si="23"/>
        <v>2266179</v>
      </c>
      <c r="G99" s="38">
        <f t="shared" si="23"/>
        <v>0</v>
      </c>
      <c r="H99" s="38">
        <v>0</v>
      </c>
      <c r="I99" s="38">
        <v>0</v>
      </c>
      <c r="J99" s="38">
        <f t="shared" si="24"/>
        <v>0</v>
      </c>
      <c r="K99" s="38">
        <v>0</v>
      </c>
      <c r="L99" s="38">
        <v>0</v>
      </c>
      <c r="M99" s="38">
        <f t="shared" si="25"/>
        <v>0</v>
      </c>
      <c r="N99" s="38">
        <v>0</v>
      </c>
      <c r="O99" s="38">
        <v>0</v>
      </c>
      <c r="P99" s="38">
        <f t="shared" si="26"/>
        <v>0</v>
      </c>
      <c r="Q99" s="38">
        <v>2266179</v>
      </c>
      <c r="R99" s="38">
        <v>2266179</v>
      </c>
      <c r="S99" s="38">
        <f t="shared" si="27"/>
        <v>0</v>
      </c>
      <c r="T99" s="38">
        <v>0</v>
      </c>
      <c r="U99" s="38">
        <v>0</v>
      </c>
      <c r="V99" s="38">
        <f t="shared" si="28"/>
        <v>0</v>
      </c>
      <c r="W99" s="38">
        <v>0</v>
      </c>
      <c r="X99" s="38">
        <v>0</v>
      </c>
      <c r="Y99" s="38">
        <f t="shared" si="29"/>
        <v>0</v>
      </c>
      <c r="Z99" s="38">
        <v>0</v>
      </c>
      <c r="AA99" s="38">
        <v>0</v>
      </c>
      <c r="AB99" s="38">
        <f t="shared" si="30"/>
        <v>0</v>
      </c>
      <c r="AC99" s="38">
        <v>0</v>
      </c>
      <c r="AD99" s="38">
        <v>0</v>
      </c>
      <c r="AE99" s="38">
        <f t="shared" si="31"/>
        <v>0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</row>
    <row r="100" spans="1:255" x14ac:dyDescent="0.25">
      <c r="A100" s="26" t="s">
        <v>104</v>
      </c>
      <c r="B100" s="34"/>
      <c r="C100" s="34"/>
      <c r="D100" s="40"/>
      <c r="E100" s="27">
        <f t="shared" si="23"/>
        <v>5975375</v>
      </c>
      <c r="F100" s="27">
        <f t="shared" si="23"/>
        <v>5797775</v>
      </c>
      <c r="G100" s="27">
        <f t="shared" si="23"/>
        <v>-177600</v>
      </c>
      <c r="H100" s="27">
        <f>SUM(H101)</f>
        <v>1253791</v>
      </c>
      <c r="I100" s="27">
        <f>SUM(I101)</f>
        <v>1409325</v>
      </c>
      <c r="J100" s="27">
        <f t="shared" si="24"/>
        <v>155534</v>
      </c>
      <c r="K100" s="27">
        <f>SUM(K101)</f>
        <v>0</v>
      </c>
      <c r="L100" s="27">
        <f>SUM(L101)</f>
        <v>0</v>
      </c>
      <c r="M100" s="27">
        <f t="shared" si="25"/>
        <v>0</v>
      </c>
      <c r="N100" s="27">
        <f>SUM(N101)</f>
        <v>66214</v>
      </c>
      <c r="O100" s="27">
        <f>SUM(O101)</f>
        <v>21480</v>
      </c>
      <c r="P100" s="27">
        <f t="shared" si="26"/>
        <v>-44734</v>
      </c>
      <c r="Q100" s="27">
        <f>SUM(Q101)</f>
        <v>2823900</v>
      </c>
      <c r="R100" s="27">
        <f>SUM(R101)</f>
        <v>2823900</v>
      </c>
      <c r="S100" s="27">
        <f t="shared" si="27"/>
        <v>0</v>
      </c>
      <c r="T100" s="27">
        <f>SUM(T101)</f>
        <v>0</v>
      </c>
      <c r="U100" s="27">
        <f>SUM(U101)</f>
        <v>0</v>
      </c>
      <c r="V100" s="27">
        <f t="shared" si="28"/>
        <v>0</v>
      </c>
      <c r="W100" s="27">
        <f>SUM(W101)</f>
        <v>1543070</v>
      </c>
      <c r="X100" s="27">
        <f>SUM(X101)</f>
        <v>1543070</v>
      </c>
      <c r="Y100" s="27">
        <f t="shared" si="29"/>
        <v>0</v>
      </c>
      <c r="Z100" s="27">
        <f>SUM(Z101)</f>
        <v>0</v>
      </c>
      <c r="AA100" s="27">
        <f>SUM(AA101)</f>
        <v>0</v>
      </c>
      <c r="AB100" s="27">
        <f t="shared" si="30"/>
        <v>0</v>
      </c>
      <c r="AC100" s="27">
        <f>SUM(AC101)</f>
        <v>288400</v>
      </c>
      <c r="AD100" s="27">
        <f>SUM(AD101)</f>
        <v>0</v>
      </c>
      <c r="AE100" s="27">
        <f t="shared" si="31"/>
        <v>-288400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</row>
    <row r="101" spans="1:255" x14ac:dyDescent="0.25">
      <c r="A101" s="26" t="s">
        <v>20</v>
      </c>
      <c r="B101" s="34"/>
      <c r="C101" s="34"/>
      <c r="D101" s="40"/>
      <c r="E101" s="27">
        <f t="shared" si="23"/>
        <v>5975375</v>
      </c>
      <c r="F101" s="27">
        <f t="shared" si="23"/>
        <v>5797775</v>
      </c>
      <c r="G101" s="27">
        <f t="shared" si="23"/>
        <v>-177600</v>
      </c>
      <c r="H101" s="27">
        <f>SUM(H102:H105)</f>
        <v>1253791</v>
      </c>
      <c r="I101" s="27">
        <f>SUM(I102:I105)</f>
        <v>1409325</v>
      </c>
      <c r="J101" s="27">
        <f t="shared" si="24"/>
        <v>155534</v>
      </c>
      <c r="K101" s="27">
        <f>SUM(K102:K105)</f>
        <v>0</v>
      </c>
      <c r="L101" s="27">
        <f>SUM(L102:L105)</f>
        <v>0</v>
      </c>
      <c r="M101" s="27">
        <f t="shared" si="25"/>
        <v>0</v>
      </c>
      <c r="N101" s="27">
        <f>SUM(N102:N105)</f>
        <v>66214</v>
      </c>
      <c r="O101" s="27">
        <f>SUM(O102:O105)</f>
        <v>21480</v>
      </c>
      <c r="P101" s="27">
        <f t="shared" si="26"/>
        <v>-44734</v>
      </c>
      <c r="Q101" s="27">
        <f>SUM(Q102:Q105)</f>
        <v>2823900</v>
      </c>
      <c r="R101" s="27">
        <f>SUM(R102:R105)</f>
        <v>2823900</v>
      </c>
      <c r="S101" s="27">
        <f t="shared" si="27"/>
        <v>0</v>
      </c>
      <c r="T101" s="27">
        <f>SUM(T102:T105)</f>
        <v>0</v>
      </c>
      <c r="U101" s="27">
        <f>SUM(U102:U105)</f>
        <v>0</v>
      </c>
      <c r="V101" s="27">
        <f t="shared" si="28"/>
        <v>0</v>
      </c>
      <c r="W101" s="27">
        <f>SUM(W102:W105)</f>
        <v>1543070</v>
      </c>
      <c r="X101" s="27">
        <f>SUM(X102:X105)</f>
        <v>1543070</v>
      </c>
      <c r="Y101" s="27">
        <f t="shared" si="29"/>
        <v>0</v>
      </c>
      <c r="Z101" s="27">
        <f>SUM(Z102:Z105)</f>
        <v>0</v>
      </c>
      <c r="AA101" s="27">
        <f>SUM(AA102:AA105)</f>
        <v>0</v>
      </c>
      <c r="AB101" s="27">
        <f t="shared" si="30"/>
        <v>0</v>
      </c>
      <c r="AC101" s="27">
        <f>SUM(AC102:AC105)</f>
        <v>288400</v>
      </c>
      <c r="AD101" s="27">
        <f>SUM(AD102:AD105)</f>
        <v>0</v>
      </c>
      <c r="AE101" s="27">
        <f t="shared" si="31"/>
        <v>-288400</v>
      </c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</row>
    <row r="102" spans="1:255" ht="47.25" x14ac:dyDescent="0.25">
      <c r="A102" s="35" t="s">
        <v>105</v>
      </c>
      <c r="B102" s="36">
        <v>2</v>
      </c>
      <c r="C102" s="36">
        <v>832</v>
      </c>
      <c r="D102" s="36">
        <v>5100</v>
      </c>
      <c r="E102" s="38">
        <f t="shared" si="23"/>
        <v>2248876</v>
      </c>
      <c r="F102" s="38">
        <f t="shared" si="23"/>
        <v>2248876</v>
      </c>
      <c r="G102" s="38">
        <f t="shared" si="23"/>
        <v>0</v>
      </c>
      <c r="H102" s="38">
        <f>55072+317600</f>
        <v>372672</v>
      </c>
      <c r="I102" s="38">
        <f>55072+317600+44734+288400</f>
        <v>705806</v>
      </c>
      <c r="J102" s="38">
        <f t="shared" si="24"/>
        <v>333134</v>
      </c>
      <c r="K102" s="38">
        <v>0</v>
      </c>
      <c r="L102" s="38">
        <v>0</v>
      </c>
      <c r="M102" s="38">
        <f t="shared" si="25"/>
        <v>0</v>
      </c>
      <c r="N102" s="38">
        <f>150000-55072+22779+5719+3434+37713+197761-317600</f>
        <v>44734</v>
      </c>
      <c r="O102" s="38">
        <f>150000-55072+22779+5719+3434+37713+197761-317600-44734</f>
        <v>0</v>
      </c>
      <c r="P102" s="38">
        <f t="shared" si="26"/>
        <v>-44734</v>
      </c>
      <c r="Q102" s="38">
        <v>0</v>
      </c>
      <c r="R102" s="38">
        <v>0</v>
      </c>
      <c r="S102" s="38">
        <f t="shared" si="27"/>
        <v>0</v>
      </c>
      <c r="T102" s="38">
        <v>0</v>
      </c>
      <c r="U102" s="38">
        <v>0</v>
      </c>
      <c r="V102" s="38">
        <f t="shared" si="28"/>
        <v>0</v>
      </c>
      <c r="W102" s="38">
        <v>1543070</v>
      </c>
      <c r="X102" s="38">
        <v>1543070</v>
      </c>
      <c r="Y102" s="38">
        <f t="shared" si="29"/>
        <v>0</v>
      </c>
      <c r="Z102" s="38">
        <v>0</v>
      </c>
      <c r="AA102" s="38">
        <v>0</v>
      </c>
      <c r="AB102" s="38">
        <f t="shared" si="30"/>
        <v>0</v>
      </c>
      <c r="AC102" s="38">
        <v>288400</v>
      </c>
      <c r="AD102" s="38">
        <f>288400-288400</f>
        <v>0</v>
      </c>
      <c r="AE102" s="38">
        <f t="shared" si="31"/>
        <v>-288400</v>
      </c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</row>
    <row r="103" spans="1:255" ht="94.5" x14ac:dyDescent="0.25">
      <c r="A103" s="47" t="s">
        <v>106</v>
      </c>
      <c r="B103" s="36">
        <v>2</v>
      </c>
      <c r="C103" s="36">
        <v>849</v>
      </c>
      <c r="D103" s="40">
        <v>5100</v>
      </c>
      <c r="E103" s="38">
        <f t="shared" si="23"/>
        <v>1243656</v>
      </c>
      <c r="F103" s="38">
        <f t="shared" si="23"/>
        <v>1243656</v>
      </c>
      <c r="G103" s="38">
        <f t="shared" si="23"/>
        <v>0</v>
      </c>
      <c r="H103" s="38">
        <v>322217</v>
      </c>
      <c r="I103" s="38">
        <v>322217</v>
      </c>
      <c r="J103" s="38">
        <f t="shared" si="24"/>
        <v>0</v>
      </c>
      <c r="K103" s="38">
        <v>0</v>
      </c>
      <c r="L103" s="38">
        <v>0</v>
      </c>
      <c r="M103" s="38">
        <f t="shared" si="25"/>
        <v>0</v>
      </c>
      <c r="N103" s="38">
        <v>21480</v>
      </c>
      <c r="O103" s="38">
        <v>21480</v>
      </c>
      <c r="P103" s="38">
        <f t="shared" si="26"/>
        <v>0</v>
      </c>
      <c r="Q103" s="38">
        <f>1222176-322217</f>
        <v>899959</v>
      </c>
      <c r="R103" s="38">
        <f>1222176-322217</f>
        <v>899959</v>
      </c>
      <c r="S103" s="38">
        <f t="shared" si="27"/>
        <v>0</v>
      </c>
      <c r="T103" s="38">
        <v>0</v>
      </c>
      <c r="U103" s="38">
        <v>0</v>
      </c>
      <c r="V103" s="38">
        <f t="shared" si="28"/>
        <v>0</v>
      </c>
      <c r="W103" s="38">
        <v>0</v>
      </c>
      <c r="X103" s="38">
        <v>0</v>
      </c>
      <c r="Y103" s="38">
        <f t="shared" si="29"/>
        <v>0</v>
      </c>
      <c r="Z103" s="38">
        <v>0</v>
      </c>
      <c r="AA103" s="38">
        <v>0</v>
      </c>
      <c r="AB103" s="38">
        <f t="shared" si="30"/>
        <v>0</v>
      </c>
      <c r="AC103" s="38">
        <v>0</v>
      </c>
      <c r="AD103" s="38">
        <v>0</v>
      </c>
      <c r="AE103" s="38">
        <f t="shared" si="31"/>
        <v>0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</row>
    <row r="104" spans="1:255" ht="63" x14ac:dyDescent="0.25">
      <c r="A104" s="99" t="s">
        <v>107</v>
      </c>
      <c r="B104" s="36">
        <v>2</v>
      </c>
      <c r="C104" s="36">
        <v>849</v>
      </c>
      <c r="D104" s="40">
        <v>5100</v>
      </c>
      <c r="E104" s="38">
        <f t="shared" si="23"/>
        <v>1776000</v>
      </c>
      <c r="F104" s="38">
        <f t="shared" si="23"/>
        <v>1598400</v>
      </c>
      <c r="G104" s="38">
        <f t="shared" si="23"/>
        <v>-177600</v>
      </c>
      <c r="H104" s="38">
        <v>177600</v>
      </c>
      <c r="I104" s="38">
        <f>177600-177600</f>
        <v>0</v>
      </c>
      <c r="J104" s="38">
        <f t="shared" si="24"/>
        <v>-177600</v>
      </c>
      <c r="K104" s="38">
        <v>0</v>
      </c>
      <c r="L104" s="38">
        <v>0</v>
      </c>
      <c r="M104" s="38">
        <f t="shared" si="25"/>
        <v>0</v>
      </c>
      <c r="N104" s="38">
        <v>0</v>
      </c>
      <c r="O104" s="38">
        <v>0</v>
      </c>
      <c r="P104" s="38">
        <f t="shared" si="26"/>
        <v>0</v>
      </c>
      <c r="Q104" s="38">
        <v>1598400</v>
      </c>
      <c r="R104" s="38">
        <v>1598400</v>
      </c>
      <c r="S104" s="38">
        <f t="shared" si="27"/>
        <v>0</v>
      </c>
      <c r="T104" s="38">
        <v>0</v>
      </c>
      <c r="U104" s="38">
        <v>0</v>
      </c>
      <c r="V104" s="38">
        <f t="shared" si="28"/>
        <v>0</v>
      </c>
      <c r="W104" s="38">
        <v>0</v>
      </c>
      <c r="X104" s="38">
        <v>0</v>
      </c>
      <c r="Y104" s="38">
        <f t="shared" si="29"/>
        <v>0</v>
      </c>
      <c r="Z104" s="38">
        <v>0</v>
      </c>
      <c r="AA104" s="38">
        <v>0</v>
      </c>
      <c r="AB104" s="38">
        <f t="shared" si="30"/>
        <v>0</v>
      </c>
      <c r="AC104" s="38">
        <v>0</v>
      </c>
      <c r="AD104" s="38">
        <v>0</v>
      </c>
      <c r="AE104" s="38">
        <f t="shared" si="31"/>
        <v>0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</row>
    <row r="105" spans="1:255" ht="94.5" x14ac:dyDescent="0.25">
      <c r="A105" s="47" t="s">
        <v>108</v>
      </c>
      <c r="B105" s="36">
        <v>2</v>
      </c>
      <c r="C105" s="36">
        <v>849</v>
      </c>
      <c r="D105" s="40">
        <v>5100</v>
      </c>
      <c r="E105" s="38">
        <f t="shared" si="23"/>
        <v>706843</v>
      </c>
      <c r="F105" s="38">
        <f t="shared" si="23"/>
        <v>706843</v>
      </c>
      <c r="G105" s="38">
        <f t="shared" si="23"/>
        <v>0</v>
      </c>
      <c r="H105" s="38">
        <v>381302</v>
      </c>
      <c r="I105" s="38">
        <v>381302</v>
      </c>
      <c r="J105" s="38">
        <f t="shared" si="24"/>
        <v>0</v>
      </c>
      <c r="K105" s="38">
        <v>0</v>
      </c>
      <c r="L105" s="38">
        <v>0</v>
      </c>
      <c r="M105" s="38">
        <f t="shared" si="25"/>
        <v>0</v>
      </c>
      <c r="N105" s="38">
        <v>0</v>
      </c>
      <c r="O105" s="38">
        <v>0</v>
      </c>
      <c r="P105" s="38">
        <f t="shared" si="26"/>
        <v>0</v>
      </c>
      <c r="Q105" s="38">
        <f>706843-381302</f>
        <v>325541</v>
      </c>
      <c r="R105" s="38">
        <f>706843-381302</f>
        <v>325541</v>
      </c>
      <c r="S105" s="38">
        <f t="shared" si="27"/>
        <v>0</v>
      </c>
      <c r="T105" s="38">
        <v>0</v>
      </c>
      <c r="U105" s="38">
        <v>0</v>
      </c>
      <c r="V105" s="38">
        <f t="shared" si="28"/>
        <v>0</v>
      </c>
      <c r="W105" s="38">
        <v>0</v>
      </c>
      <c r="X105" s="38">
        <v>0</v>
      </c>
      <c r="Y105" s="38">
        <f t="shared" si="29"/>
        <v>0</v>
      </c>
      <c r="Z105" s="38">
        <v>0</v>
      </c>
      <c r="AA105" s="38">
        <v>0</v>
      </c>
      <c r="AB105" s="38">
        <f t="shared" si="30"/>
        <v>0</v>
      </c>
      <c r="AC105" s="38">
        <v>0</v>
      </c>
      <c r="AD105" s="38">
        <v>0</v>
      </c>
      <c r="AE105" s="38">
        <f t="shared" si="31"/>
        <v>0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</row>
    <row r="106" spans="1:255" x14ac:dyDescent="0.25">
      <c r="A106" s="26" t="s">
        <v>109</v>
      </c>
      <c r="B106" s="34"/>
      <c r="C106" s="34"/>
      <c r="D106" s="34"/>
      <c r="E106" s="27">
        <f t="shared" si="23"/>
        <v>33195604</v>
      </c>
      <c r="F106" s="27">
        <f t="shared" si="23"/>
        <v>33808367</v>
      </c>
      <c r="G106" s="27">
        <f t="shared" si="23"/>
        <v>612763</v>
      </c>
      <c r="H106" s="27">
        <f>SUM(H107,H128,H136,H198,H236,H293,H327,H179)</f>
        <v>1619163</v>
      </c>
      <c r="I106" s="27">
        <f>SUM(I107,I128,I136,I198,I236,I293,I327,I179)</f>
        <v>1732008</v>
      </c>
      <c r="J106" s="27">
        <f t="shared" si="24"/>
        <v>112845</v>
      </c>
      <c r="K106" s="27">
        <f>SUM(K107,K128,K136,K198,K236,K293,K327,K179)</f>
        <v>392281</v>
      </c>
      <c r="L106" s="27">
        <f>SUM(L107,L128,L136,L198,L236,L293,L327,L179)</f>
        <v>392281</v>
      </c>
      <c r="M106" s="27">
        <f t="shared" si="25"/>
        <v>0</v>
      </c>
      <c r="N106" s="27">
        <f>SUM(N107,N128,N136,N198,N236,N293,N327,N179)</f>
        <v>2152169</v>
      </c>
      <c r="O106" s="27">
        <f>SUM(O107,O128,O136,O198,O236,O293,O327,O179)</f>
        <v>2130124</v>
      </c>
      <c r="P106" s="27">
        <f t="shared" si="26"/>
        <v>-22045</v>
      </c>
      <c r="Q106" s="27">
        <f>SUM(Q107,Q128,Q136,Q198,Q236,Q293,Q327,Q179)</f>
        <v>9673153</v>
      </c>
      <c r="R106" s="27">
        <f>SUM(R107,R128,R136,R198,R236,R293,R327,R179)</f>
        <v>9679835</v>
      </c>
      <c r="S106" s="27">
        <f t="shared" si="27"/>
        <v>6682</v>
      </c>
      <c r="T106" s="27">
        <f>SUM(T107,T128,T136,T198,T236,T293,T327,T179)</f>
        <v>496994</v>
      </c>
      <c r="U106" s="27">
        <f>SUM(U107,U128,U136,U198,U236,U293,U327,U179)</f>
        <v>516921</v>
      </c>
      <c r="V106" s="27">
        <f t="shared" si="28"/>
        <v>19927</v>
      </c>
      <c r="W106" s="27">
        <f>SUM(W107,W128,W136,W198,W236,W293,W327,W179)</f>
        <v>3533772</v>
      </c>
      <c r="X106" s="27">
        <f>SUM(X107,X128,X136,X198,X236,X293,X327,X179)</f>
        <v>3674538</v>
      </c>
      <c r="Y106" s="27">
        <f t="shared" si="29"/>
        <v>140766</v>
      </c>
      <c r="Z106" s="27">
        <f>SUM(Z107,Z128,Z136,Z198,Z236,Z293,Z327,Z179)</f>
        <v>64728</v>
      </c>
      <c r="AA106" s="27">
        <f>SUM(AA107,AA128,AA136,AA198,AA236,AA293,AA327,AA179)</f>
        <v>98538</v>
      </c>
      <c r="AB106" s="27">
        <f t="shared" si="30"/>
        <v>33810</v>
      </c>
      <c r="AC106" s="27">
        <f>SUM(AC107,AC128,AC136,AC198,AC236,AC293,AC327,AC179)</f>
        <v>15263344</v>
      </c>
      <c r="AD106" s="27">
        <f>SUM(AD107,AD128,AD136,AD198,AD236,AD293,AD327,AD179)</f>
        <v>15584122</v>
      </c>
      <c r="AE106" s="27">
        <f t="shared" si="31"/>
        <v>320778</v>
      </c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</row>
    <row r="107" spans="1:255" x14ac:dyDescent="0.25">
      <c r="A107" s="26" t="s">
        <v>19</v>
      </c>
      <c r="B107" s="34"/>
      <c r="C107" s="34"/>
      <c r="D107" s="34"/>
      <c r="E107" s="27">
        <f t="shared" si="23"/>
        <v>242071</v>
      </c>
      <c r="F107" s="27">
        <f t="shared" si="23"/>
        <v>248256</v>
      </c>
      <c r="G107" s="27">
        <f t="shared" si="23"/>
        <v>6185</v>
      </c>
      <c r="H107" s="27">
        <f>SUM(H108,H114,H116,H125)</f>
        <v>0</v>
      </c>
      <c r="I107" s="27">
        <f>SUM(I108,I114,I116,I125)</f>
        <v>0</v>
      </c>
      <c r="J107" s="27">
        <f t="shared" si="24"/>
        <v>0</v>
      </c>
      <c r="K107" s="27">
        <f t="shared" ref="K107:L107" si="32">SUM(K108,K114,K116,K125)</f>
        <v>0</v>
      </c>
      <c r="L107" s="27">
        <f t="shared" si="32"/>
        <v>0</v>
      </c>
      <c r="M107" s="27">
        <f t="shared" si="25"/>
        <v>0</v>
      </c>
      <c r="N107" s="27">
        <f t="shared" ref="N107:O107" si="33">SUM(N108,N114,N116,N125)</f>
        <v>118412</v>
      </c>
      <c r="O107" s="27">
        <f t="shared" si="33"/>
        <v>119011</v>
      </c>
      <c r="P107" s="27">
        <f t="shared" si="26"/>
        <v>599</v>
      </c>
      <c r="Q107" s="27">
        <f t="shared" ref="Q107:R107" si="34">SUM(Q108,Q114,Q116,Q125)</f>
        <v>48650</v>
      </c>
      <c r="R107" s="27">
        <f t="shared" si="34"/>
        <v>54236</v>
      </c>
      <c r="S107" s="27">
        <f t="shared" si="27"/>
        <v>5586</v>
      </c>
      <c r="T107" s="27">
        <f t="shared" ref="T107:U107" si="35">SUM(T108,T114,T116,T125)</f>
        <v>0</v>
      </c>
      <c r="U107" s="27">
        <f t="shared" si="35"/>
        <v>0</v>
      </c>
      <c r="V107" s="27">
        <f t="shared" si="28"/>
        <v>0</v>
      </c>
      <c r="W107" s="27">
        <f t="shared" ref="W107:X107" si="36">SUM(W108,W114,W116,W125)</f>
        <v>30865</v>
      </c>
      <c r="X107" s="27">
        <f t="shared" si="36"/>
        <v>30865</v>
      </c>
      <c r="Y107" s="27">
        <f t="shared" si="29"/>
        <v>0</v>
      </c>
      <c r="Z107" s="27">
        <f t="shared" ref="Z107:AA107" si="37">SUM(Z108,Z114,Z116,Z125)</f>
        <v>0</v>
      </c>
      <c r="AA107" s="27">
        <f t="shared" si="37"/>
        <v>0</v>
      </c>
      <c r="AB107" s="27">
        <f t="shared" si="30"/>
        <v>0</v>
      </c>
      <c r="AC107" s="27">
        <f t="shared" ref="AC107:AD107" si="38">SUM(AC108,AC114,AC116,AC125)</f>
        <v>44144</v>
      </c>
      <c r="AD107" s="27">
        <f t="shared" si="38"/>
        <v>44144</v>
      </c>
      <c r="AE107" s="27">
        <f t="shared" si="31"/>
        <v>0</v>
      </c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</row>
    <row r="108" spans="1:255" x14ac:dyDescent="0.25">
      <c r="A108" s="26" t="s">
        <v>110</v>
      </c>
      <c r="B108" s="34"/>
      <c r="C108" s="34"/>
      <c r="D108" s="34"/>
      <c r="E108" s="27">
        <f t="shared" si="23"/>
        <v>118708</v>
      </c>
      <c r="F108" s="27">
        <f t="shared" si="23"/>
        <v>117777</v>
      </c>
      <c r="G108" s="27">
        <f t="shared" si="23"/>
        <v>-931</v>
      </c>
      <c r="H108" s="27">
        <f>SUM(H109:H113)</f>
        <v>0</v>
      </c>
      <c r="I108" s="27">
        <f>SUM(I109:I113)</f>
        <v>0</v>
      </c>
      <c r="J108" s="27">
        <f t="shared" si="24"/>
        <v>0</v>
      </c>
      <c r="K108" s="27">
        <f>SUM(K109:K113)</f>
        <v>0</v>
      </c>
      <c r="L108" s="27">
        <f>SUM(L109:L113)</f>
        <v>0</v>
      </c>
      <c r="M108" s="27">
        <f t="shared" si="25"/>
        <v>0</v>
      </c>
      <c r="N108" s="27">
        <f>SUM(N109:N113)</f>
        <v>73658</v>
      </c>
      <c r="O108" s="27">
        <f>SUM(O109:O113)</f>
        <v>72727</v>
      </c>
      <c r="P108" s="27">
        <f t="shared" si="26"/>
        <v>-931</v>
      </c>
      <c r="Q108" s="27">
        <f>SUM(Q109:Q113)</f>
        <v>45050</v>
      </c>
      <c r="R108" s="27">
        <f>SUM(R109:R113)</f>
        <v>45050</v>
      </c>
      <c r="S108" s="27">
        <f t="shared" si="27"/>
        <v>0</v>
      </c>
      <c r="T108" s="27">
        <f>SUM(T109:T113)</f>
        <v>0</v>
      </c>
      <c r="U108" s="27">
        <f>SUM(U109:U113)</f>
        <v>0</v>
      </c>
      <c r="V108" s="27">
        <f t="shared" si="28"/>
        <v>0</v>
      </c>
      <c r="W108" s="27">
        <f>SUM(W109:W113)</f>
        <v>0</v>
      </c>
      <c r="X108" s="27">
        <f>SUM(X109:X113)</f>
        <v>0</v>
      </c>
      <c r="Y108" s="27">
        <f t="shared" si="29"/>
        <v>0</v>
      </c>
      <c r="Z108" s="27">
        <f>SUM(Z109:Z113)</f>
        <v>0</v>
      </c>
      <c r="AA108" s="27">
        <f>SUM(AA109:AA113)</f>
        <v>0</v>
      </c>
      <c r="AB108" s="27">
        <f t="shared" si="30"/>
        <v>0</v>
      </c>
      <c r="AC108" s="27">
        <f>SUM(AC109:AC113)</f>
        <v>0</v>
      </c>
      <c r="AD108" s="27">
        <f>SUM(AD109:AD113)</f>
        <v>0</v>
      </c>
      <c r="AE108" s="27">
        <f t="shared" si="31"/>
        <v>0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</row>
    <row r="109" spans="1:255" x14ac:dyDescent="0.25">
      <c r="A109" s="35" t="s">
        <v>111</v>
      </c>
      <c r="B109" s="36">
        <v>2</v>
      </c>
      <c r="C109" s="36">
        <v>122</v>
      </c>
      <c r="D109" s="36">
        <v>5201</v>
      </c>
      <c r="E109" s="38">
        <f t="shared" si="23"/>
        <v>70000</v>
      </c>
      <c r="F109" s="38">
        <f t="shared" si="23"/>
        <v>70000</v>
      </c>
      <c r="G109" s="38">
        <f t="shared" si="23"/>
        <v>0</v>
      </c>
      <c r="H109" s="38">
        <v>0</v>
      </c>
      <c r="I109" s="38">
        <v>0</v>
      </c>
      <c r="J109" s="38">
        <f t="shared" si="24"/>
        <v>0</v>
      </c>
      <c r="K109" s="38">
        <v>0</v>
      </c>
      <c r="L109" s="38">
        <v>0</v>
      </c>
      <c r="M109" s="38">
        <f t="shared" si="25"/>
        <v>0</v>
      </c>
      <c r="N109" s="38">
        <v>70000</v>
      </c>
      <c r="O109" s="38">
        <v>70000</v>
      </c>
      <c r="P109" s="38">
        <f t="shared" si="26"/>
        <v>0</v>
      </c>
      <c r="Q109" s="38">
        <v>0</v>
      </c>
      <c r="R109" s="38">
        <v>0</v>
      </c>
      <c r="S109" s="38">
        <f t="shared" si="27"/>
        <v>0</v>
      </c>
      <c r="T109" s="38">
        <v>0</v>
      </c>
      <c r="U109" s="38">
        <v>0</v>
      </c>
      <c r="V109" s="38">
        <f t="shared" si="28"/>
        <v>0</v>
      </c>
      <c r="W109" s="38">
        <v>0</v>
      </c>
      <c r="X109" s="38">
        <v>0</v>
      </c>
      <c r="Y109" s="38">
        <f t="shared" si="29"/>
        <v>0</v>
      </c>
      <c r="Z109" s="38">
        <v>0</v>
      </c>
      <c r="AA109" s="38">
        <v>0</v>
      </c>
      <c r="AB109" s="38">
        <f t="shared" si="30"/>
        <v>0</v>
      </c>
      <c r="AC109" s="38">
        <v>0</v>
      </c>
      <c r="AD109" s="38">
        <v>0</v>
      </c>
      <c r="AE109" s="38">
        <f t="shared" si="31"/>
        <v>0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</row>
    <row r="110" spans="1:255" ht="63" x14ac:dyDescent="0.25">
      <c r="A110" s="42" t="s">
        <v>112</v>
      </c>
      <c r="B110" s="36"/>
      <c r="C110" s="36"/>
      <c r="D110" s="36"/>
      <c r="E110" s="31">
        <f t="shared" si="23"/>
        <v>30050</v>
      </c>
      <c r="F110" s="31">
        <f t="shared" si="23"/>
        <v>30050</v>
      </c>
      <c r="G110" s="31">
        <f t="shared" si="23"/>
        <v>0</v>
      </c>
      <c r="H110" s="31">
        <v>0</v>
      </c>
      <c r="I110" s="31">
        <v>0</v>
      </c>
      <c r="J110" s="31">
        <f t="shared" si="24"/>
        <v>0</v>
      </c>
      <c r="K110" s="31">
        <v>0</v>
      </c>
      <c r="L110" s="31">
        <v>0</v>
      </c>
      <c r="M110" s="31">
        <f t="shared" si="25"/>
        <v>0</v>
      </c>
      <c r="N110" s="31">
        <v>0</v>
      </c>
      <c r="O110" s="31">
        <v>0</v>
      </c>
      <c r="P110" s="31">
        <f t="shared" si="26"/>
        <v>0</v>
      </c>
      <c r="Q110" s="31">
        <v>30050</v>
      </c>
      <c r="R110" s="31">
        <v>30050</v>
      </c>
      <c r="S110" s="31">
        <f t="shared" si="27"/>
        <v>0</v>
      </c>
      <c r="T110" s="31">
        <v>0</v>
      </c>
      <c r="U110" s="31">
        <v>0</v>
      </c>
      <c r="V110" s="31">
        <f t="shared" si="28"/>
        <v>0</v>
      </c>
      <c r="W110" s="31">
        <v>0</v>
      </c>
      <c r="X110" s="31">
        <v>0</v>
      </c>
      <c r="Y110" s="31">
        <f t="shared" si="29"/>
        <v>0</v>
      </c>
      <c r="Z110" s="31">
        <v>0</v>
      </c>
      <c r="AA110" s="31">
        <v>0</v>
      </c>
      <c r="AB110" s="31">
        <f t="shared" si="30"/>
        <v>0</v>
      </c>
      <c r="AC110" s="31">
        <v>0</v>
      </c>
      <c r="AD110" s="31">
        <v>0</v>
      </c>
      <c r="AE110" s="31">
        <f t="shared" si="31"/>
        <v>0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</row>
    <row r="111" spans="1:255" ht="31.5" x14ac:dyDescent="0.25">
      <c r="A111" s="35" t="s">
        <v>113</v>
      </c>
      <c r="B111" s="36">
        <v>2</v>
      </c>
      <c r="C111" s="36">
        <v>122</v>
      </c>
      <c r="D111" s="36">
        <v>5201</v>
      </c>
      <c r="E111" s="38">
        <f t="shared" si="23"/>
        <v>1829</v>
      </c>
      <c r="F111" s="38">
        <f t="shared" si="23"/>
        <v>898</v>
      </c>
      <c r="G111" s="38">
        <f t="shared" si="23"/>
        <v>-931</v>
      </c>
      <c r="H111" s="38">
        <v>0</v>
      </c>
      <c r="I111" s="38">
        <v>0</v>
      </c>
      <c r="J111" s="38">
        <f t="shared" si="24"/>
        <v>0</v>
      </c>
      <c r="K111" s="38">
        <v>0</v>
      </c>
      <c r="L111" s="38">
        <v>0</v>
      </c>
      <c r="M111" s="38">
        <f t="shared" si="25"/>
        <v>0</v>
      </c>
      <c r="N111" s="38">
        <v>1829</v>
      </c>
      <c r="O111" s="38">
        <f>1829-1031+100</f>
        <v>898</v>
      </c>
      <c r="P111" s="38">
        <f t="shared" si="26"/>
        <v>-931</v>
      </c>
      <c r="Q111" s="38">
        <v>0</v>
      </c>
      <c r="R111" s="38">
        <v>0</v>
      </c>
      <c r="S111" s="38">
        <f t="shared" si="27"/>
        <v>0</v>
      </c>
      <c r="T111" s="38">
        <v>0</v>
      </c>
      <c r="U111" s="38">
        <v>0</v>
      </c>
      <c r="V111" s="38">
        <f t="shared" si="28"/>
        <v>0</v>
      </c>
      <c r="W111" s="38">
        <v>0</v>
      </c>
      <c r="X111" s="38">
        <v>0</v>
      </c>
      <c r="Y111" s="38">
        <f t="shared" si="29"/>
        <v>0</v>
      </c>
      <c r="Z111" s="38">
        <v>0</v>
      </c>
      <c r="AA111" s="38">
        <v>0</v>
      </c>
      <c r="AB111" s="38">
        <f t="shared" si="30"/>
        <v>0</v>
      </c>
      <c r="AC111" s="38">
        <v>0</v>
      </c>
      <c r="AD111" s="38">
        <v>0</v>
      </c>
      <c r="AE111" s="38">
        <f t="shared" si="31"/>
        <v>0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</row>
    <row r="112" spans="1:255" ht="126" x14ac:dyDescent="0.25">
      <c r="A112" s="35" t="s">
        <v>114</v>
      </c>
      <c r="B112" s="36"/>
      <c r="C112" s="36"/>
      <c r="D112" s="36"/>
      <c r="E112" s="38">
        <f t="shared" si="23"/>
        <v>15000</v>
      </c>
      <c r="F112" s="38">
        <f t="shared" si="23"/>
        <v>15000</v>
      </c>
      <c r="G112" s="38">
        <f t="shared" si="23"/>
        <v>0</v>
      </c>
      <c r="H112" s="38">
        <v>0</v>
      </c>
      <c r="I112" s="38">
        <v>0</v>
      </c>
      <c r="J112" s="38">
        <f t="shared" si="24"/>
        <v>0</v>
      </c>
      <c r="K112" s="38">
        <v>0</v>
      </c>
      <c r="L112" s="38">
        <v>0</v>
      </c>
      <c r="M112" s="38">
        <f t="shared" si="25"/>
        <v>0</v>
      </c>
      <c r="N112" s="38"/>
      <c r="O112" s="38"/>
      <c r="P112" s="38">
        <f t="shared" si="26"/>
        <v>0</v>
      </c>
      <c r="Q112" s="38">
        <v>15000</v>
      </c>
      <c r="R112" s="38">
        <v>15000</v>
      </c>
      <c r="S112" s="38">
        <f t="shared" si="27"/>
        <v>0</v>
      </c>
      <c r="T112" s="38">
        <v>0</v>
      </c>
      <c r="U112" s="38">
        <v>0</v>
      </c>
      <c r="V112" s="38">
        <f t="shared" si="28"/>
        <v>0</v>
      </c>
      <c r="W112" s="38">
        <v>0</v>
      </c>
      <c r="X112" s="38">
        <v>0</v>
      </c>
      <c r="Y112" s="38">
        <f t="shared" si="29"/>
        <v>0</v>
      </c>
      <c r="Z112" s="38">
        <v>0</v>
      </c>
      <c r="AA112" s="38">
        <v>0</v>
      </c>
      <c r="AB112" s="38">
        <f t="shared" si="30"/>
        <v>0</v>
      </c>
      <c r="AC112" s="38">
        <v>0</v>
      </c>
      <c r="AD112" s="38">
        <v>0</v>
      </c>
      <c r="AE112" s="38">
        <f t="shared" si="31"/>
        <v>0</v>
      </c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</row>
    <row r="113" spans="1:255" ht="31.5" x14ac:dyDescent="0.25">
      <c r="A113" s="35" t="s">
        <v>115</v>
      </c>
      <c r="B113" s="36">
        <v>2</v>
      </c>
      <c r="C113" s="36">
        <v>122</v>
      </c>
      <c r="D113" s="36">
        <v>5201</v>
      </c>
      <c r="E113" s="38">
        <f t="shared" si="23"/>
        <v>1829</v>
      </c>
      <c r="F113" s="38">
        <f t="shared" si="23"/>
        <v>1829</v>
      </c>
      <c r="G113" s="38">
        <f t="shared" si="23"/>
        <v>0</v>
      </c>
      <c r="H113" s="38">
        <v>0</v>
      </c>
      <c r="I113" s="38">
        <v>0</v>
      </c>
      <c r="J113" s="38">
        <f t="shared" si="24"/>
        <v>0</v>
      </c>
      <c r="K113" s="38">
        <v>0</v>
      </c>
      <c r="L113" s="38">
        <v>0</v>
      </c>
      <c r="M113" s="38">
        <f t="shared" si="25"/>
        <v>0</v>
      </c>
      <c r="N113" s="38">
        <v>1829</v>
      </c>
      <c r="O113" s="38">
        <v>1829</v>
      </c>
      <c r="P113" s="38">
        <f t="shared" si="26"/>
        <v>0</v>
      </c>
      <c r="Q113" s="38">
        <v>0</v>
      </c>
      <c r="R113" s="38">
        <v>0</v>
      </c>
      <c r="S113" s="38">
        <f t="shared" si="27"/>
        <v>0</v>
      </c>
      <c r="T113" s="38">
        <v>0</v>
      </c>
      <c r="U113" s="38">
        <v>0</v>
      </c>
      <c r="V113" s="38">
        <f t="shared" si="28"/>
        <v>0</v>
      </c>
      <c r="W113" s="38">
        <v>0</v>
      </c>
      <c r="X113" s="38">
        <v>0</v>
      </c>
      <c r="Y113" s="38">
        <f t="shared" si="29"/>
        <v>0</v>
      </c>
      <c r="Z113" s="38">
        <v>0</v>
      </c>
      <c r="AA113" s="38">
        <v>0</v>
      </c>
      <c r="AB113" s="38">
        <f t="shared" si="30"/>
        <v>0</v>
      </c>
      <c r="AC113" s="38">
        <v>0</v>
      </c>
      <c r="AD113" s="38">
        <v>0</v>
      </c>
      <c r="AE113" s="38">
        <f t="shared" si="31"/>
        <v>0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</row>
    <row r="114" spans="1:255" ht="26.25" customHeight="1" x14ac:dyDescent="0.25">
      <c r="A114" s="26" t="s">
        <v>116</v>
      </c>
      <c r="B114" s="34"/>
      <c r="C114" s="34"/>
      <c r="D114" s="34"/>
      <c r="E114" s="27">
        <f t="shared" si="23"/>
        <v>44144</v>
      </c>
      <c r="F114" s="27">
        <f t="shared" si="23"/>
        <v>44144</v>
      </c>
      <c r="G114" s="27">
        <f t="shared" si="23"/>
        <v>0</v>
      </c>
      <c r="H114" s="27">
        <f>SUM(H115:H115)</f>
        <v>0</v>
      </c>
      <c r="I114" s="27">
        <f>SUM(I115:I115)</f>
        <v>0</v>
      </c>
      <c r="J114" s="27">
        <f t="shared" si="24"/>
        <v>0</v>
      </c>
      <c r="K114" s="27">
        <f>SUM(K115:K115)</f>
        <v>0</v>
      </c>
      <c r="L114" s="27">
        <f>SUM(L115:L115)</f>
        <v>0</v>
      </c>
      <c r="M114" s="27">
        <f t="shared" si="25"/>
        <v>0</v>
      </c>
      <c r="N114" s="27">
        <f>SUM(N115:N115)</f>
        <v>0</v>
      </c>
      <c r="O114" s="27">
        <f>SUM(O115:O115)</f>
        <v>0</v>
      </c>
      <c r="P114" s="27">
        <f t="shared" si="26"/>
        <v>0</v>
      </c>
      <c r="Q114" s="27">
        <f>SUM(Q115:Q115)</f>
        <v>0</v>
      </c>
      <c r="R114" s="27">
        <f>SUM(R115:R115)</f>
        <v>0</v>
      </c>
      <c r="S114" s="27">
        <f t="shared" si="27"/>
        <v>0</v>
      </c>
      <c r="T114" s="27">
        <f>SUM(T115:T115)</f>
        <v>0</v>
      </c>
      <c r="U114" s="27">
        <f>SUM(U115:U115)</f>
        <v>0</v>
      </c>
      <c r="V114" s="27">
        <f t="shared" si="28"/>
        <v>0</v>
      </c>
      <c r="W114" s="27">
        <f>SUM(W115:W115)</f>
        <v>0</v>
      </c>
      <c r="X114" s="27">
        <f>SUM(X115:X115)</f>
        <v>0</v>
      </c>
      <c r="Y114" s="27">
        <f t="shared" si="29"/>
        <v>0</v>
      </c>
      <c r="Z114" s="27">
        <f>SUM(Z115:Z115)</f>
        <v>0</v>
      </c>
      <c r="AA114" s="27">
        <f>SUM(AA115:AA115)</f>
        <v>0</v>
      </c>
      <c r="AB114" s="27">
        <f t="shared" si="30"/>
        <v>0</v>
      </c>
      <c r="AC114" s="27">
        <f>SUM(AC115:AC115)</f>
        <v>44144</v>
      </c>
      <c r="AD114" s="27">
        <f>SUM(AD115:AD115)</f>
        <v>44144</v>
      </c>
      <c r="AE114" s="27">
        <f t="shared" si="31"/>
        <v>0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</row>
    <row r="115" spans="1:255" ht="47.25" x14ac:dyDescent="0.25">
      <c r="A115" s="39" t="s">
        <v>117</v>
      </c>
      <c r="B115" s="36">
        <v>2</v>
      </c>
      <c r="C115" s="36">
        <v>122</v>
      </c>
      <c r="D115" s="36">
        <v>5202</v>
      </c>
      <c r="E115" s="38">
        <f t="shared" si="23"/>
        <v>44144</v>
      </c>
      <c r="F115" s="38">
        <f t="shared" si="23"/>
        <v>44144</v>
      </c>
      <c r="G115" s="38">
        <f t="shared" si="23"/>
        <v>0</v>
      </c>
      <c r="H115" s="38">
        <v>0</v>
      </c>
      <c r="I115" s="38">
        <v>0</v>
      </c>
      <c r="J115" s="38">
        <f t="shared" si="24"/>
        <v>0</v>
      </c>
      <c r="K115" s="38">
        <v>0</v>
      </c>
      <c r="L115" s="38">
        <v>0</v>
      </c>
      <c r="M115" s="38">
        <f t="shared" si="25"/>
        <v>0</v>
      </c>
      <c r="N115" s="38">
        <v>0</v>
      </c>
      <c r="O115" s="38">
        <v>0</v>
      </c>
      <c r="P115" s="38">
        <f t="shared" si="26"/>
        <v>0</v>
      </c>
      <c r="Q115" s="38">
        <v>0</v>
      </c>
      <c r="R115" s="38">
        <v>0</v>
      </c>
      <c r="S115" s="38">
        <f t="shared" si="27"/>
        <v>0</v>
      </c>
      <c r="T115" s="38">
        <v>0</v>
      </c>
      <c r="U115" s="38">
        <v>0</v>
      </c>
      <c r="V115" s="38">
        <f t="shared" si="28"/>
        <v>0</v>
      </c>
      <c r="W115" s="38">
        <v>0</v>
      </c>
      <c r="X115" s="38">
        <v>0</v>
      </c>
      <c r="Y115" s="38">
        <f t="shared" si="29"/>
        <v>0</v>
      </c>
      <c r="Z115" s="38">
        <v>0</v>
      </c>
      <c r="AA115" s="38">
        <v>0</v>
      </c>
      <c r="AB115" s="38">
        <f t="shared" si="30"/>
        <v>0</v>
      </c>
      <c r="AC115" s="38">
        <v>44144</v>
      </c>
      <c r="AD115" s="38">
        <v>44144</v>
      </c>
      <c r="AE115" s="38">
        <f t="shared" si="31"/>
        <v>0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</row>
    <row r="116" spans="1:255" ht="31.5" x14ac:dyDescent="0.25">
      <c r="A116" s="26" t="s">
        <v>118</v>
      </c>
      <c r="B116" s="34"/>
      <c r="C116" s="34"/>
      <c r="D116" s="34"/>
      <c r="E116" s="27">
        <f t="shared" si="23"/>
        <v>73616</v>
      </c>
      <c r="F116" s="27">
        <f t="shared" si="23"/>
        <v>80732</v>
      </c>
      <c r="G116" s="27">
        <f t="shared" si="23"/>
        <v>7116</v>
      </c>
      <c r="H116" s="27">
        <f>SUM(H117:H124)</f>
        <v>0</v>
      </c>
      <c r="I116" s="27">
        <f>SUM(I117:I124)</f>
        <v>0</v>
      </c>
      <c r="J116" s="27">
        <f t="shared" si="24"/>
        <v>0</v>
      </c>
      <c r="K116" s="27">
        <f>SUM(K117:K124)</f>
        <v>0</v>
      </c>
      <c r="L116" s="27">
        <f>SUM(L117:L124)</f>
        <v>0</v>
      </c>
      <c r="M116" s="27">
        <f t="shared" si="25"/>
        <v>0</v>
      </c>
      <c r="N116" s="27">
        <f>SUM(N117:N124)</f>
        <v>39151</v>
      </c>
      <c r="O116" s="27">
        <f>SUM(O117:O124)</f>
        <v>40681</v>
      </c>
      <c r="P116" s="27">
        <f t="shared" si="26"/>
        <v>1530</v>
      </c>
      <c r="Q116" s="27">
        <f>SUM(Q117:Q124)</f>
        <v>3600</v>
      </c>
      <c r="R116" s="27">
        <f>SUM(R117:R124)</f>
        <v>9186</v>
      </c>
      <c r="S116" s="27">
        <f t="shared" si="27"/>
        <v>5586</v>
      </c>
      <c r="T116" s="27">
        <f>SUM(T117:T124)</f>
        <v>0</v>
      </c>
      <c r="U116" s="27">
        <f>SUM(U117:U124)</f>
        <v>0</v>
      </c>
      <c r="V116" s="27">
        <f t="shared" si="28"/>
        <v>0</v>
      </c>
      <c r="W116" s="27">
        <f>SUM(W117:W124)</f>
        <v>30865</v>
      </c>
      <c r="X116" s="27">
        <f>SUM(X117:X124)</f>
        <v>30865</v>
      </c>
      <c r="Y116" s="27">
        <f t="shared" si="29"/>
        <v>0</v>
      </c>
      <c r="Z116" s="27">
        <f>SUM(Z117:Z124)</f>
        <v>0</v>
      </c>
      <c r="AA116" s="27">
        <f>SUM(AA117:AA124)</f>
        <v>0</v>
      </c>
      <c r="AB116" s="27">
        <f t="shared" si="30"/>
        <v>0</v>
      </c>
      <c r="AC116" s="27">
        <f>SUM(AC117:AC124)</f>
        <v>0</v>
      </c>
      <c r="AD116" s="27">
        <f>SUM(AD117:AD124)</f>
        <v>0</v>
      </c>
      <c r="AE116" s="27">
        <f t="shared" si="31"/>
        <v>0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</row>
    <row r="117" spans="1:255" ht="47.25" x14ac:dyDescent="0.25">
      <c r="A117" s="41" t="s">
        <v>119</v>
      </c>
      <c r="B117" s="36">
        <v>2</v>
      </c>
      <c r="C117" s="36">
        <v>122</v>
      </c>
      <c r="D117" s="36">
        <v>5203</v>
      </c>
      <c r="E117" s="38">
        <f t="shared" si="23"/>
        <v>30865</v>
      </c>
      <c r="F117" s="38">
        <f t="shared" si="23"/>
        <v>30865</v>
      </c>
      <c r="G117" s="38">
        <f t="shared" si="23"/>
        <v>0</v>
      </c>
      <c r="H117" s="38">
        <v>0</v>
      </c>
      <c r="I117" s="38">
        <v>0</v>
      </c>
      <c r="J117" s="38">
        <f t="shared" si="24"/>
        <v>0</v>
      </c>
      <c r="K117" s="38">
        <v>0</v>
      </c>
      <c r="L117" s="38">
        <v>0</v>
      </c>
      <c r="M117" s="38">
        <f t="shared" si="25"/>
        <v>0</v>
      </c>
      <c r="N117" s="38">
        <v>0</v>
      </c>
      <c r="O117" s="38">
        <v>0</v>
      </c>
      <c r="P117" s="38">
        <f t="shared" si="26"/>
        <v>0</v>
      </c>
      <c r="Q117" s="38">
        <v>0</v>
      </c>
      <c r="R117" s="38">
        <v>0</v>
      </c>
      <c r="S117" s="38">
        <f t="shared" si="27"/>
        <v>0</v>
      </c>
      <c r="T117" s="38">
        <v>0</v>
      </c>
      <c r="U117" s="38">
        <v>0</v>
      </c>
      <c r="V117" s="38">
        <f t="shared" si="28"/>
        <v>0</v>
      </c>
      <c r="W117" s="38">
        <f>30865</f>
        <v>30865</v>
      </c>
      <c r="X117" s="38">
        <f>30865</f>
        <v>30865</v>
      </c>
      <c r="Y117" s="38">
        <f t="shared" si="29"/>
        <v>0</v>
      </c>
      <c r="Z117" s="38">
        <v>0</v>
      </c>
      <c r="AA117" s="38">
        <v>0</v>
      </c>
      <c r="AB117" s="38">
        <f t="shared" si="30"/>
        <v>0</v>
      </c>
      <c r="AC117" s="38">
        <v>0</v>
      </c>
      <c r="AD117" s="38">
        <v>0</v>
      </c>
      <c r="AE117" s="38">
        <f t="shared" si="31"/>
        <v>0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</row>
    <row r="118" spans="1:255" ht="78.75" x14ac:dyDescent="0.25">
      <c r="A118" s="35" t="s">
        <v>120</v>
      </c>
      <c r="B118" s="36"/>
      <c r="C118" s="36"/>
      <c r="D118" s="36"/>
      <c r="E118" s="38">
        <f t="shared" si="23"/>
        <v>0</v>
      </c>
      <c r="F118" s="38">
        <f t="shared" si="23"/>
        <v>5586</v>
      </c>
      <c r="G118" s="38">
        <f t="shared" si="23"/>
        <v>5586</v>
      </c>
      <c r="H118" s="38">
        <v>0</v>
      </c>
      <c r="I118" s="38">
        <v>0</v>
      </c>
      <c r="J118" s="38">
        <f t="shared" si="24"/>
        <v>0</v>
      </c>
      <c r="K118" s="38">
        <v>0</v>
      </c>
      <c r="L118" s="38">
        <v>0</v>
      </c>
      <c r="M118" s="38">
        <f t="shared" si="25"/>
        <v>0</v>
      </c>
      <c r="N118" s="38"/>
      <c r="O118" s="38">
        <v>0</v>
      </c>
      <c r="P118" s="38">
        <f t="shared" si="26"/>
        <v>0</v>
      </c>
      <c r="Q118" s="38">
        <v>0</v>
      </c>
      <c r="R118" s="38">
        <v>5586</v>
      </c>
      <c r="S118" s="38">
        <f t="shared" si="27"/>
        <v>5586</v>
      </c>
      <c r="T118" s="38">
        <v>0</v>
      </c>
      <c r="U118" s="38">
        <v>0</v>
      </c>
      <c r="V118" s="38">
        <f t="shared" si="28"/>
        <v>0</v>
      </c>
      <c r="W118" s="38">
        <v>0</v>
      </c>
      <c r="X118" s="38">
        <v>0</v>
      </c>
      <c r="Y118" s="38">
        <f t="shared" si="29"/>
        <v>0</v>
      </c>
      <c r="Z118" s="38">
        <v>0</v>
      </c>
      <c r="AA118" s="38">
        <v>0</v>
      </c>
      <c r="AB118" s="38">
        <f t="shared" si="30"/>
        <v>0</v>
      </c>
      <c r="AC118" s="38">
        <v>0</v>
      </c>
      <c r="AD118" s="38">
        <v>0</v>
      </c>
      <c r="AE118" s="38">
        <f t="shared" si="31"/>
        <v>0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</row>
    <row r="119" spans="1:255" ht="126" x14ac:dyDescent="0.25">
      <c r="A119" s="35" t="s">
        <v>121</v>
      </c>
      <c r="B119" s="36"/>
      <c r="C119" s="36"/>
      <c r="D119" s="36"/>
      <c r="E119" s="38">
        <f t="shared" si="23"/>
        <v>3600</v>
      </c>
      <c r="F119" s="38">
        <f t="shared" si="23"/>
        <v>3600</v>
      </c>
      <c r="G119" s="38">
        <f t="shared" si="23"/>
        <v>0</v>
      </c>
      <c r="H119" s="38">
        <v>0</v>
      </c>
      <c r="I119" s="38">
        <v>0</v>
      </c>
      <c r="J119" s="38">
        <f t="shared" si="24"/>
        <v>0</v>
      </c>
      <c r="K119" s="38">
        <v>0</v>
      </c>
      <c r="L119" s="38">
        <v>0</v>
      </c>
      <c r="M119" s="38">
        <f t="shared" si="25"/>
        <v>0</v>
      </c>
      <c r="N119" s="38"/>
      <c r="O119" s="38"/>
      <c r="P119" s="38">
        <f t="shared" si="26"/>
        <v>0</v>
      </c>
      <c r="Q119" s="38">
        <v>3600</v>
      </c>
      <c r="R119" s="38">
        <v>3600</v>
      </c>
      <c r="S119" s="38">
        <f t="shared" si="27"/>
        <v>0</v>
      </c>
      <c r="T119" s="38">
        <v>0</v>
      </c>
      <c r="U119" s="38">
        <v>0</v>
      </c>
      <c r="V119" s="38">
        <f t="shared" si="28"/>
        <v>0</v>
      </c>
      <c r="W119" s="38">
        <v>0</v>
      </c>
      <c r="X119" s="38">
        <v>0</v>
      </c>
      <c r="Y119" s="38">
        <f t="shared" si="29"/>
        <v>0</v>
      </c>
      <c r="Z119" s="38">
        <v>0</v>
      </c>
      <c r="AA119" s="38">
        <v>0</v>
      </c>
      <c r="AB119" s="38">
        <f t="shared" si="30"/>
        <v>0</v>
      </c>
      <c r="AC119" s="38">
        <v>0</v>
      </c>
      <c r="AD119" s="38">
        <v>0</v>
      </c>
      <c r="AE119" s="38">
        <f t="shared" si="31"/>
        <v>0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</row>
    <row r="120" spans="1:255" ht="31.5" x14ac:dyDescent="0.25">
      <c r="A120" s="41" t="s">
        <v>122</v>
      </c>
      <c r="B120" s="36">
        <v>2</v>
      </c>
      <c r="C120" s="36">
        <v>122</v>
      </c>
      <c r="D120" s="36">
        <v>5203</v>
      </c>
      <c r="E120" s="38">
        <f t="shared" si="23"/>
        <v>1620</v>
      </c>
      <c r="F120" s="38">
        <f t="shared" si="23"/>
        <v>1620</v>
      </c>
      <c r="G120" s="38">
        <f t="shared" si="23"/>
        <v>0</v>
      </c>
      <c r="H120" s="38">
        <v>0</v>
      </c>
      <c r="I120" s="38">
        <v>0</v>
      </c>
      <c r="J120" s="38">
        <f t="shared" si="24"/>
        <v>0</v>
      </c>
      <c r="K120" s="38">
        <v>0</v>
      </c>
      <c r="L120" s="38">
        <v>0</v>
      </c>
      <c r="M120" s="38">
        <f t="shared" si="25"/>
        <v>0</v>
      </c>
      <c r="N120" s="38">
        <v>1620</v>
      </c>
      <c r="O120" s="38">
        <v>1620</v>
      </c>
      <c r="P120" s="38">
        <f t="shared" si="26"/>
        <v>0</v>
      </c>
      <c r="Q120" s="38">
        <v>0</v>
      </c>
      <c r="R120" s="38">
        <v>0</v>
      </c>
      <c r="S120" s="38">
        <f t="shared" si="27"/>
        <v>0</v>
      </c>
      <c r="T120" s="38">
        <v>0</v>
      </c>
      <c r="U120" s="38">
        <v>0</v>
      </c>
      <c r="V120" s="38">
        <f t="shared" si="28"/>
        <v>0</v>
      </c>
      <c r="W120" s="38">
        <v>0</v>
      </c>
      <c r="X120" s="38">
        <v>0</v>
      </c>
      <c r="Y120" s="38">
        <f t="shared" si="29"/>
        <v>0</v>
      </c>
      <c r="Z120" s="38">
        <v>0</v>
      </c>
      <c r="AA120" s="38">
        <v>0</v>
      </c>
      <c r="AB120" s="38">
        <f t="shared" si="30"/>
        <v>0</v>
      </c>
      <c r="AC120" s="38">
        <v>0</v>
      </c>
      <c r="AD120" s="38">
        <v>0</v>
      </c>
      <c r="AE120" s="38">
        <f t="shared" si="31"/>
        <v>0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</row>
    <row r="121" spans="1:255" ht="31.5" x14ac:dyDescent="0.25">
      <c r="A121" s="41" t="s">
        <v>123</v>
      </c>
      <c r="B121" s="36">
        <v>2</v>
      </c>
      <c r="C121" s="36">
        <v>122</v>
      </c>
      <c r="D121" s="36">
        <v>5203</v>
      </c>
      <c r="E121" s="38">
        <f t="shared" si="23"/>
        <v>5265</v>
      </c>
      <c r="F121" s="38">
        <f t="shared" si="23"/>
        <v>5265</v>
      </c>
      <c r="G121" s="38">
        <f t="shared" si="23"/>
        <v>0</v>
      </c>
      <c r="H121" s="38">
        <v>0</v>
      </c>
      <c r="I121" s="38">
        <v>0</v>
      </c>
      <c r="J121" s="38">
        <f t="shared" si="24"/>
        <v>0</v>
      </c>
      <c r="K121" s="38">
        <v>0</v>
      </c>
      <c r="L121" s="38">
        <v>0</v>
      </c>
      <c r="M121" s="38">
        <f t="shared" si="25"/>
        <v>0</v>
      </c>
      <c r="N121" s="38">
        <v>5265</v>
      </c>
      <c r="O121" s="38">
        <v>5265</v>
      </c>
      <c r="P121" s="38">
        <f t="shared" si="26"/>
        <v>0</v>
      </c>
      <c r="Q121" s="38">
        <v>0</v>
      </c>
      <c r="R121" s="38">
        <v>0</v>
      </c>
      <c r="S121" s="38">
        <f t="shared" si="27"/>
        <v>0</v>
      </c>
      <c r="T121" s="38">
        <v>0</v>
      </c>
      <c r="U121" s="38">
        <v>0</v>
      </c>
      <c r="V121" s="38">
        <f t="shared" si="28"/>
        <v>0</v>
      </c>
      <c r="W121" s="38">
        <v>0</v>
      </c>
      <c r="X121" s="38">
        <v>0</v>
      </c>
      <c r="Y121" s="38">
        <f t="shared" si="29"/>
        <v>0</v>
      </c>
      <c r="Z121" s="38">
        <v>0</v>
      </c>
      <c r="AA121" s="38">
        <v>0</v>
      </c>
      <c r="AB121" s="38">
        <f t="shared" si="30"/>
        <v>0</v>
      </c>
      <c r="AC121" s="38">
        <v>0</v>
      </c>
      <c r="AD121" s="38">
        <v>0</v>
      </c>
      <c r="AE121" s="38">
        <f t="shared" si="31"/>
        <v>0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</row>
    <row r="122" spans="1:255" x14ac:dyDescent="0.25">
      <c r="A122" s="41" t="s">
        <v>124</v>
      </c>
      <c r="B122" s="36">
        <v>2</v>
      </c>
      <c r="C122" s="36">
        <v>122</v>
      </c>
      <c r="D122" s="36">
        <v>5203</v>
      </c>
      <c r="E122" s="38">
        <f t="shared" si="23"/>
        <v>0</v>
      </c>
      <c r="F122" s="38">
        <f t="shared" si="23"/>
        <v>1530</v>
      </c>
      <c r="G122" s="38">
        <f t="shared" si="23"/>
        <v>1530</v>
      </c>
      <c r="H122" s="38">
        <v>0</v>
      </c>
      <c r="I122" s="38">
        <v>0</v>
      </c>
      <c r="J122" s="38">
        <f t="shared" si="24"/>
        <v>0</v>
      </c>
      <c r="K122" s="38">
        <v>0</v>
      </c>
      <c r="L122" s="38">
        <v>0</v>
      </c>
      <c r="M122" s="38">
        <f t="shared" si="25"/>
        <v>0</v>
      </c>
      <c r="N122" s="38">
        <v>0</v>
      </c>
      <c r="O122" s="38">
        <v>1530</v>
      </c>
      <c r="P122" s="38">
        <f t="shared" si="26"/>
        <v>1530</v>
      </c>
      <c r="Q122" s="38">
        <v>0</v>
      </c>
      <c r="R122" s="38">
        <v>0</v>
      </c>
      <c r="S122" s="38">
        <f t="shared" si="27"/>
        <v>0</v>
      </c>
      <c r="T122" s="38">
        <v>0</v>
      </c>
      <c r="U122" s="38">
        <v>0</v>
      </c>
      <c r="V122" s="38">
        <f t="shared" si="28"/>
        <v>0</v>
      </c>
      <c r="W122" s="38">
        <v>0</v>
      </c>
      <c r="X122" s="38">
        <v>0</v>
      </c>
      <c r="Y122" s="38">
        <f t="shared" si="29"/>
        <v>0</v>
      </c>
      <c r="Z122" s="38">
        <v>0</v>
      </c>
      <c r="AA122" s="38">
        <v>0</v>
      </c>
      <c r="AB122" s="38">
        <f t="shared" si="30"/>
        <v>0</v>
      </c>
      <c r="AC122" s="38">
        <v>0</v>
      </c>
      <c r="AD122" s="38">
        <v>0</v>
      </c>
      <c r="AE122" s="38">
        <f t="shared" si="31"/>
        <v>0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</row>
    <row r="123" spans="1:255" ht="31.5" x14ac:dyDescent="0.25">
      <c r="A123" s="41" t="s">
        <v>125</v>
      </c>
      <c r="B123" s="36">
        <v>2</v>
      </c>
      <c r="C123" s="36">
        <v>122</v>
      </c>
      <c r="D123" s="36">
        <v>5203</v>
      </c>
      <c r="E123" s="38">
        <f t="shared" si="23"/>
        <v>2266</v>
      </c>
      <c r="F123" s="38">
        <f t="shared" si="23"/>
        <v>2266</v>
      </c>
      <c r="G123" s="38">
        <f t="shared" si="23"/>
        <v>0</v>
      </c>
      <c r="H123" s="38">
        <v>0</v>
      </c>
      <c r="I123" s="38">
        <v>0</v>
      </c>
      <c r="J123" s="38">
        <f t="shared" si="24"/>
        <v>0</v>
      </c>
      <c r="K123" s="38">
        <v>0</v>
      </c>
      <c r="L123" s="38">
        <v>0</v>
      </c>
      <c r="M123" s="38">
        <f t="shared" si="25"/>
        <v>0</v>
      </c>
      <c r="N123" s="38">
        <v>2266</v>
      </c>
      <c r="O123" s="38">
        <v>2266</v>
      </c>
      <c r="P123" s="38">
        <f t="shared" si="26"/>
        <v>0</v>
      </c>
      <c r="Q123" s="38">
        <v>0</v>
      </c>
      <c r="R123" s="38">
        <v>0</v>
      </c>
      <c r="S123" s="38">
        <f t="shared" si="27"/>
        <v>0</v>
      </c>
      <c r="T123" s="38">
        <v>0</v>
      </c>
      <c r="U123" s="38">
        <v>0</v>
      </c>
      <c r="V123" s="38">
        <f t="shared" si="28"/>
        <v>0</v>
      </c>
      <c r="W123" s="38">
        <v>0</v>
      </c>
      <c r="X123" s="38">
        <v>0</v>
      </c>
      <c r="Y123" s="38">
        <f t="shared" si="29"/>
        <v>0</v>
      </c>
      <c r="Z123" s="38">
        <v>0</v>
      </c>
      <c r="AA123" s="38">
        <v>0</v>
      </c>
      <c r="AB123" s="38">
        <f t="shared" si="30"/>
        <v>0</v>
      </c>
      <c r="AC123" s="38">
        <v>0</v>
      </c>
      <c r="AD123" s="38">
        <v>0</v>
      </c>
      <c r="AE123" s="38">
        <f t="shared" si="31"/>
        <v>0</v>
      </c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</row>
    <row r="124" spans="1:255" ht="31.5" x14ac:dyDescent="0.25">
      <c r="A124" s="41" t="s">
        <v>126</v>
      </c>
      <c r="B124" s="36">
        <v>2</v>
      </c>
      <c r="C124" s="36">
        <v>122</v>
      </c>
      <c r="D124" s="36">
        <v>5203</v>
      </c>
      <c r="E124" s="38">
        <f t="shared" si="23"/>
        <v>30000</v>
      </c>
      <c r="F124" s="38">
        <f t="shared" si="23"/>
        <v>30000</v>
      </c>
      <c r="G124" s="38">
        <f t="shared" si="23"/>
        <v>0</v>
      </c>
      <c r="H124" s="38">
        <v>0</v>
      </c>
      <c r="I124" s="38">
        <v>0</v>
      </c>
      <c r="J124" s="38">
        <f t="shared" si="24"/>
        <v>0</v>
      </c>
      <c r="K124" s="38">
        <v>0</v>
      </c>
      <c r="L124" s="38">
        <v>0</v>
      </c>
      <c r="M124" s="38">
        <f t="shared" si="25"/>
        <v>0</v>
      </c>
      <c r="N124" s="38">
        <v>30000</v>
      </c>
      <c r="O124" s="38">
        <v>30000</v>
      </c>
      <c r="P124" s="38">
        <f t="shared" si="26"/>
        <v>0</v>
      </c>
      <c r="Q124" s="38">
        <v>0</v>
      </c>
      <c r="R124" s="38">
        <v>0</v>
      </c>
      <c r="S124" s="38">
        <f t="shared" si="27"/>
        <v>0</v>
      </c>
      <c r="T124" s="38">
        <v>0</v>
      </c>
      <c r="U124" s="38">
        <v>0</v>
      </c>
      <c r="V124" s="38">
        <f t="shared" si="28"/>
        <v>0</v>
      </c>
      <c r="W124" s="38">
        <v>0</v>
      </c>
      <c r="X124" s="38">
        <v>0</v>
      </c>
      <c r="Y124" s="38">
        <f t="shared" si="29"/>
        <v>0</v>
      </c>
      <c r="Z124" s="38">
        <v>0</v>
      </c>
      <c r="AA124" s="38">
        <v>0</v>
      </c>
      <c r="AB124" s="38">
        <f t="shared" si="30"/>
        <v>0</v>
      </c>
      <c r="AC124" s="38">
        <v>0</v>
      </c>
      <c r="AD124" s="38">
        <v>0</v>
      </c>
      <c r="AE124" s="38">
        <f t="shared" si="31"/>
        <v>0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</row>
    <row r="125" spans="1:255" ht="19.5" customHeight="1" x14ac:dyDescent="0.25">
      <c r="A125" s="26" t="s">
        <v>128</v>
      </c>
      <c r="B125" s="34"/>
      <c r="C125" s="34"/>
      <c r="D125" s="34"/>
      <c r="E125" s="27">
        <f t="shared" si="23"/>
        <v>5603</v>
      </c>
      <c r="F125" s="27">
        <f t="shared" si="23"/>
        <v>5603</v>
      </c>
      <c r="G125" s="27">
        <f t="shared" si="23"/>
        <v>0</v>
      </c>
      <c r="H125" s="27">
        <f>SUM(H126:H127)</f>
        <v>0</v>
      </c>
      <c r="I125" s="27">
        <f>SUM(I126:I127)</f>
        <v>0</v>
      </c>
      <c r="J125" s="27">
        <f t="shared" si="24"/>
        <v>0</v>
      </c>
      <c r="K125" s="27">
        <f>SUM(K126:K127)</f>
        <v>0</v>
      </c>
      <c r="L125" s="27">
        <f>SUM(L126:L127)</f>
        <v>0</v>
      </c>
      <c r="M125" s="27">
        <f t="shared" si="25"/>
        <v>0</v>
      </c>
      <c r="N125" s="27">
        <f>SUM(N126:N127)</f>
        <v>5603</v>
      </c>
      <c r="O125" s="27">
        <f>SUM(O126:O127)</f>
        <v>5603</v>
      </c>
      <c r="P125" s="27">
        <f t="shared" si="26"/>
        <v>0</v>
      </c>
      <c r="Q125" s="27">
        <f>SUM(Q126:Q127)</f>
        <v>0</v>
      </c>
      <c r="R125" s="27">
        <f>SUM(R126:R127)</f>
        <v>0</v>
      </c>
      <c r="S125" s="27">
        <f t="shared" si="27"/>
        <v>0</v>
      </c>
      <c r="T125" s="27">
        <f>SUM(T126:T127)</f>
        <v>0</v>
      </c>
      <c r="U125" s="27">
        <f>SUM(U126:U127)</f>
        <v>0</v>
      </c>
      <c r="V125" s="27">
        <f t="shared" si="28"/>
        <v>0</v>
      </c>
      <c r="W125" s="27">
        <f>SUM(W126:W127)</f>
        <v>0</v>
      </c>
      <c r="X125" s="27">
        <f>SUM(X126:X127)</f>
        <v>0</v>
      </c>
      <c r="Y125" s="27">
        <f t="shared" si="29"/>
        <v>0</v>
      </c>
      <c r="Z125" s="27">
        <f>SUM(Z126:Z127)</f>
        <v>0</v>
      </c>
      <c r="AA125" s="27">
        <f>SUM(AA126:AA127)</f>
        <v>0</v>
      </c>
      <c r="AB125" s="27">
        <f t="shared" si="30"/>
        <v>0</v>
      </c>
      <c r="AC125" s="27">
        <f>SUM(AC126:AC127)</f>
        <v>0</v>
      </c>
      <c r="AD125" s="27">
        <f>SUM(AD126:AD127)</f>
        <v>0</v>
      </c>
      <c r="AE125" s="27">
        <f t="shared" si="31"/>
        <v>0</v>
      </c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</row>
    <row r="126" spans="1:255" ht="31.5" x14ac:dyDescent="0.25">
      <c r="A126" s="35" t="s">
        <v>129</v>
      </c>
      <c r="B126" s="36">
        <v>2</v>
      </c>
      <c r="C126" s="36">
        <v>122</v>
      </c>
      <c r="D126" s="36">
        <v>5205</v>
      </c>
      <c r="E126" s="38">
        <f t="shared" si="23"/>
        <v>3418</v>
      </c>
      <c r="F126" s="38">
        <f t="shared" si="23"/>
        <v>3418</v>
      </c>
      <c r="G126" s="38">
        <f t="shared" si="23"/>
        <v>0</v>
      </c>
      <c r="H126" s="38">
        <v>0</v>
      </c>
      <c r="I126" s="38">
        <v>0</v>
      </c>
      <c r="J126" s="38">
        <f t="shared" si="24"/>
        <v>0</v>
      </c>
      <c r="K126" s="38">
        <v>0</v>
      </c>
      <c r="L126" s="38">
        <v>0</v>
      </c>
      <c r="M126" s="38">
        <f t="shared" si="25"/>
        <v>0</v>
      </c>
      <c r="N126" s="38">
        <v>3418</v>
      </c>
      <c r="O126" s="38">
        <v>3418</v>
      </c>
      <c r="P126" s="38">
        <f t="shared" si="26"/>
        <v>0</v>
      </c>
      <c r="Q126" s="38">
        <v>0</v>
      </c>
      <c r="R126" s="38">
        <v>0</v>
      </c>
      <c r="S126" s="38">
        <f t="shared" si="27"/>
        <v>0</v>
      </c>
      <c r="T126" s="38">
        <v>0</v>
      </c>
      <c r="U126" s="38">
        <v>0</v>
      </c>
      <c r="V126" s="38">
        <f t="shared" si="28"/>
        <v>0</v>
      </c>
      <c r="W126" s="38">
        <v>0</v>
      </c>
      <c r="X126" s="38">
        <v>0</v>
      </c>
      <c r="Y126" s="38">
        <f t="shared" si="29"/>
        <v>0</v>
      </c>
      <c r="Z126" s="38">
        <v>0</v>
      </c>
      <c r="AA126" s="38">
        <v>0</v>
      </c>
      <c r="AB126" s="38">
        <f t="shared" si="30"/>
        <v>0</v>
      </c>
      <c r="AC126" s="38">
        <v>0</v>
      </c>
      <c r="AD126" s="38">
        <v>0</v>
      </c>
      <c r="AE126" s="38">
        <f t="shared" si="31"/>
        <v>0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</row>
    <row r="127" spans="1:255" ht="31.5" x14ac:dyDescent="0.25">
      <c r="A127" s="35" t="s">
        <v>130</v>
      </c>
      <c r="B127" s="36">
        <v>2</v>
      </c>
      <c r="C127" s="36">
        <v>122</v>
      </c>
      <c r="D127" s="36">
        <v>5205</v>
      </c>
      <c r="E127" s="38">
        <f t="shared" si="23"/>
        <v>2185</v>
      </c>
      <c r="F127" s="38">
        <f t="shared" si="23"/>
        <v>2185</v>
      </c>
      <c r="G127" s="38">
        <f t="shared" si="23"/>
        <v>0</v>
      </c>
      <c r="H127" s="38">
        <v>0</v>
      </c>
      <c r="I127" s="38">
        <v>0</v>
      </c>
      <c r="J127" s="38">
        <f t="shared" si="24"/>
        <v>0</v>
      </c>
      <c r="K127" s="38">
        <v>0</v>
      </c>
      <c r="L127" s="38">
        <v>0</v>
      </c>
      <c r="M127" s="38">
        <f t="shared" si="25"/>
        <v>0</v>
      </c>
      <c r="N127" s="38">
        <v>2185</v>
      </c>
      <c r="O127" s="38">
        <v>2185</v>
      </c>
      <c r="P127" s="38">
        <f t="shared" si="26"/>
        <v>0</v>
      </c>
      <c r="Q127" s="38">
        <v>0</v>
      </c>
      <c r="R127" s="38">
        <v>0</v>
      </c>
      <c r="S127" s="38">
        <f t="shared" si="27"/>
        <v>0</v>
      </c>
      <c r="T127" s="38">
        <v>0</v>
      </c>
      <c r="U127" s="38">
        <v>0</v>
      </c>
      <c r="V127" s="38">
        <f t="shared" si="28"/>
        <v>0</v>
      </c>
      <c r="W127" s="38">
        <v>0</v>
      </c>
      <c r="X127" s="38">
        <v>0</v>
      </c>
      <c r="Y127" s="38">
        <f t="shared" si="29"/>
        <v>0</v>
      </c>
      <c r="Z127" s="38">
        <v>0</v>
      </c>
      <c r="AA127" s="38">
        <v>0</v>
      </c>
      <c r="AB127" s="38">
        <f t="shared" si="30"/>
        <v>0</v>
      </c>
      <c r="AC127" s="38">
        <v>0</v>
      </c>
      <c r="AD127" s="38">
        <v>0</v>
      </c>
      <c r="AE127" s="38">
        <f t="shared" si="31"/>
        <v>0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</row>
    <row r="128" spans="1:255" x14ac:dyDescent="0.25">
      <c r="A128" s="32" t="s">
        <v>35</v>
      </c>
      <c r="B128" s="33"/>
      <c r="C128" s="33"/>
      <c r="D128" s="33"/>
      <c r="E128" s="28">
        <f t="shared" si="23"/>
        <v>148827</v>
      </c>
      <c r="F128" s="28">
        <f t="shared" si="23"/>
        <v>148827</v>
      </c>
      <c r="G128" s="28">
        <f t="shared" si="23"/>
        <v>0</v>
      </c>
      <c r="H128" s="28">
        <f>SUM(H129,H134)</f>
        <v>0</v>
      </c>
      <c r="I128" s="28">
        <f>SUM(I129,I134)</f>
        <v>0</v>
      </c>
      <c r="J128" s="28">
        <f t="shared" si="24"/>
        <v>0</v>
      </c>
      <c r="K128" s="28">
        <f t="shared" ref="K128:L128" si="39">SUM(K129,K134)</f>
        <v>0</v>
      </c>
      <c r="L128" s="28">
        <f t="shared" si="39"/>
        <v>0</v>
      </c>
      <c r="M128" s="28">
        <f t="shared" si="25"/>
        <v>0</v>
      </c>
      <c r="N128" s="28">
        <f t="shared" ref="N128:O128" si="40">SUM(N129,N134)</f>
        <v>24257</v>
      </c>
      <c r="O128" s="28">
        <f t="shared" si="40"/>
        <v>24257</v>
      </c>
      <c r="P128" s="28">
        <f t="shared" si="26"/>
        <v>0</v>
      </c>
      <c r="Q128" s="28">
        <f t="shared" ref="Q128:R128" si="41">SUM(Q129,Q134)</f>
        <v>0</v>
      </c>
      <c r="R128" s="28">
        <f t="shared" si="41"/>
        <v>0</v>
      </c>
      <c r="S128" s="28">
        <f t="shared" si="27"/>
        <v>0</v>
      </c>
      <c r="T128" s="28">
        <f t="shared" ref="T128:U128" si="42">SUM(T129,T134)</f>
        <v>20000</v>
      </c>
      <c r="U128" s="28">
        <f t="shared" si="42"/>
        <v>20000</v>
      </c>
      <c r="V128" s="28">
        <f t="shared" si="28"/>
        <v>0</v>
      </c>
      <c r="W128" s="28">
        <f t="shared" ref="W128:X128" si="43">SUM(W129,W134)</f>
        <v>0</v>
      </c>
      <c r="X128" s="28">
        <f t="shared" si="43"/>
        <v>0</v>
      </c>
      <c r="Y128" s="28">
        <f t="shared" si="29"/>
        <v>0</v>
      </c>
      <c r="Z128" s="28">
        <f t="shared" ref="Z128:AA128" si="44">SUM(Z129,Z134)</f>
        <v>0</v>
      </c>
      <c r="AA128" s="28">
        <f t="shared" si="44"/>
        <v>0</v>
      </c>
      <c r="AB128" s="28">
        <f t="shared" si="30"/>
        <v>0</v>
      </c>
      <c r="AC128" s="28">
        <f t="shared" ref="AC128:AD128" si="45">SUM(AC129,AC134)</f>
        <v>104570</v>
      </c>
      <c r="AD128" s="28">
        <f t="shared" si="45"/>
        <v>104570</v>
      </c>
      <c r="AE128" s="28">
        <f t="shared" si="31"/>
        <v>0</v>
      </c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</row>
    <row r="129" spans="1:255" ht="31.5" x14ac:dyDescent="0.25">
      <c r="A129" s="26" t="s">
        <v>118</v>
      </c>
      <c r="B129" s="34"/>
      <c r="C129" s="34"/>
      <c r="D129" s="34"/>
      <c r="E129" s="28">
        <f t="shared" si="23"/>
        <v>44257</v>
      </c>
      <c r="F129" s="28">
        <f t="shared" si="23"/>
        <v>44257</v>
      </c>
      <c r="G129" s="28">
        <f t="shared" si="23"/>
        <v>0</v>
      </c>
      <c r="H129" s="28">
        <f>SUM(H130:H133)</f>
        <v>0</v>
      </c>
      <c r="I129" s="28">
        <f>SUM(I130:I133)</f>
        <v>0</v>
      </c>
      <c r="J129" s="28">
        <f t="shared" si="24"/>
        <v>0</v>
      </c>
      <c r="K129" s="28">
        <f>SUM(K130:K133)</f>
        <v>0</v>
      </c>
      <c r="L129" s="28">
        <f>SUM(L130:L133)</f>
        <v>0</v>
      </c>
      <c r="M129" s="28">
        <f t="shared" si="25"/>
        <v>0</v>
      </c>
      <c r="N129" s="28">
        <f>SUM(N130:N133)</f>
        <v>24257</v>
      </c>
      <c r="O129" s="28">
        <f>SUM(O130:O133)</f>
        <v>24257</v>
      </c>
      <c r="P129" s="28">
        <f t="shared" si="26"/>
        <v>0</v>
      </c>
      <c r="Q129" s="28">
        <f>SUM(Q130:Q133)</f>
        <v>0</v>
      </c>
      <c r="R129" s="28">
        <f>SUM(R130:R133)</f>
        <v>0</v>
      </c>
      <c r="S129" s="28">
        <f t="shared" si="27"/>
        <v>0</v>
      </c>
      <c r="T129" s="28">
        <f>SUM(T130:T133)</f>
        <v>20000</v>
      </c>
      <c r="U129" s="28">
        <f>SUM(U130:U133)</f>
        <v>20000</v>
      </c>
      <c r="V129" s="28">
        <f t="shared" si="28"/>
        <v>0</v>
      </c>
      <c r="W129" s="28">
        <f>SUM(W130:W133)</f>
        <v>0</v>
      </c>
      <c r="X129" s="28">
        <f>SUM(X130:X133)</f>
        <v>0</v>
      </c>
      <c r="Y129" s="28">
        <f t="shared" si="29"/>
        <v>0</v>
      </c>
      <c r="Z129" s="28">
        <f>SUM(Z130:Z133)</f>
        <v>0</v>
      </c>
      <c r="AA129" s="28">
        <f>SUM(AA130:AA133)</f>
        <v>0</v>
      </c>
      <c r="AB129" s="28">
        <f t="shared" si="30"/>
        <v>0</v>
      </c>
      <c r="AC129" s="28">
        <f>SUM(AC130:AC133)</f>
        <v>0</v>
      </c>
      <c r="AD129" s="28">
        <f>SUM(AD130:AD133)</f>
        <v>0</v>
      </c>
      <c r="AE129" s="28">
        <f t="shared" si="31"/>
        <v>0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</row>
    <row r="130" spans="1:255" x14ac:dyDescent="0.25">
      <c r="A130" s="41" t="s">
        <v>131</v>
      </c>
      <c r="B130" s="36">
        <v>1</v>
      </c>
      <c r="C130" s="36">
        <v>239</v>
      </c>
      <c r="D130" s="36">
        <v>5203</v>
      </c>
      <c r="E130" s="38">
        <f t="shared" si="23"/>
        <v>20000</v>
      </c>
      <c r="F130" s="38">
        <f t="shared" si="23"/>
        <v>20000</v>
      </c>
      <c r="G130" s="38">
        <f t="shared" si="23"/>
        <v>0</v>
      </c>
      <c r="H130" s="38">
        <v>0</v>
      </c>
      <c r="I130" s="38">
        <v>0</v>
      </c>
      <c r="J130" s="38">
        <f t="shared" si="24"/>
        <v>0</v>
      </c>
      <c r="K130" s="38">
        <v>0</v>
      </c>
      <c r="L130" s="38">
        <v>0</v>
      </c>
      <c r="M130" s="38">
        <f t="shared" si="25"/>
        <v>0</v>
      </c>
      <c r="N130" s="38">
        <v>0</v>
      </c>
      <c r="O130" s="38">
        <v>0</v>
      </c>
      <c r="P130" s="38">
        <f t="shared" si="26"/>
        <v>0</v>
      </c>
      <c r="Q130" s="38">
        <v>0</v>
      </c>
      <c r="R130" s="38">
        <v>0</v>
      </c>
      <c r="S130" s="38">
        <f t="shared" si="27"/>
        <v>0</v>
      </c>
      <c r="T130" s="38">
        <v>20000</v>
      </c>
      <c r="U130" s="38">
        <v>20000</v>
      </c>
      <c r="V130" s="38">
        <f t="shared" si="28"/>
        <v>0</v>
      </c>
      <c r="W130" s="38">
        <v>0</v>
      </c>
      <c r="X130" s="38">
        <v>0</v>
      </c>
      <c r="Y130" s="38">
        <f t="shared" si="29"/>
        <v>0</v>
      </c>
      <c r="Z130" s="38">
        <v>0</v>
      </c>
      <c r="AA130" s="38">
        <v>0</v>
      </c>
      <c r="AB130" s="38">
        <f t="shared" si="30"/>
        <v>0</v>
      </c>
      <c r="AC130" s="38">
        <v>0</v>
      </c>
      <c r="AD130" s="38">
        <v>0</v>
      </c>
      <c r="AE130" s="38">
        <f t="shared" si="31"/>
        <v>0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</row>
    <row r="131" spans="1:255" ht="31.5" x14ac:dyDescent="0.25">
      <c r="A131" s="41" t="s">
        <v>132</v>
      </c>
      <c r="B131" s="36">
        <v>3</v>
      </c>
      <c r="C131" s="36">
        <v>239</v>
      </c>
      <c r="D131" s="36">
        <v>5203</v>
      </c>
      <c r="E131" s="38">
        <f t="shared" si="23"/>
        <v>18000</v>
      </c>
      <c r="F131" s="38">
        <f t="shared" si="23"/>
        <v>18000</v>
      </c>
      <c r="G131" s="38">
        <f t="shared" si="23"/>
        <v>0</v>
      </c>
      <c r="H131" s="38">
        <v>0</v>
      </c>
      <c r="I131" s="38">
        <v>0</v>
      </c>
      <c r="J131" s="38">
        <f t="shared" si="24"/>
        <v>0</v>
      </c>
      <c r="K131" s="38">
        <v>0</v>
      </c>
      <c r="L131" s="38">
        <v>0</v>
      </c>
      <c r="M131" s="38">
        <f t="shared" si="25"/>
        <v>0</v>
      </c>
      <c r="N131" s="38">
        <v>18000</v>
      </c>
      <c r="O131" s="38">
        <v>18000</v>
      </c>
      <c r="P131" s="38">
        <f t="shared" si="26"/>
        <v>0</v>
      </c>
      <c r="Q131" s="38">
        <v>0</v>
      </c>
      <c r="R131" s="38">
        <v>0</v>
      </c>
      <c r="S131" s="38">
        <f t="shared" si="27"/>
        <v>0</v>
      </c>
      <c r="T131" s="38">
        <v>0</v>
      </c>
      <c r="U131" s="38">
        <v>0</v>
      </c>
      <c r="V131" s="38">
        <f t="shared" si="28"/>
        <v>0</v>
      </c>
      <c r="W131" s="38">
        <v>0</v>
      </c>
      <c r="X131" s="38">
        <v>0</v>
      </c>
      <c r="Y131" s="38">
        <f t="shared" si="29"/>
        <v>0</v>
      </c>
      <c r="Z131" s="38">
        <v>0</v>
      </c>
      <c r="AA131" s="38">
        <v>0</v>
      </c>
      <c r="AB131" s="38">
        <f t="shared" si="30"/>
        <v>0</v>
      </c>
      <c r="AC131" s="38">
        <v>0</v>
      </c>
      <c r="AD131" s="38">
        <v>0</v>
      </c>
      <c r="AE131" s="38">
        <f t="shared" si="31"/>
        <v>0</v>
      </c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</row>
    <row r="132" spans="1:255" ht="31.5" x14ac:dyDescent="0.25">
      <c r="A132" s="39" t="s">
        <v>133</v>
      </c>
      <c r="B132" s="37">
        <v>3</v>
      </c>
      <c r="C132" s="37">
        <v>239</v>
      </c>
      <c r="D132" s="40">
        <v>5203</v>
      </c>
      <c r="E132" s="38">
        <f t="shared" si="23"/>
        <v>2778</v>
      </c>
      <c r="F132" s="38">
        <f t="shared" si="23"/>
        <v>2778</v>
      </c>
      <c r="G132" s="38">
        <f t="shared" si="23"/>
        <v>0</v>
      </c>
      <c r="H132" s="38">
        <v>0</v>
      </c>
      <c r="I132" s="38">
        <v>0</v>
      </c>
      <c r="J132" s="38">
        <f t="shared" si="24"/>
        <v>0</v>
      </c>
      <c r="K132" s="38">
        <v>0</v>
      </c>
      <c r="L132" s="38">
        <v>0</v>
      </c>
      <c r="M132" s="38">
        <f t="shared" si="25"/>
        <v>0</v>
      </c>
      <c r="N132" s="38">
        <v>2778</v>
      </c>
      <c r="O132" s="38">
        <v>2778</v>
      </c>
      <c r="P132" s="38">
        <f t="shared" si="26"/>
        <v>0</v>
      </c>
      <c r="Q132" s="38">
        <v>0</v>
      </c>
      <c r="R132" s="38">
        <v>0</v>
      </c>
      <c r="S132" s="38">
        <f t="shared" si="27"/>
        <v>0</v>
      </c>
      <c r="T132" s="38">
        <v>0</v>
      </c>
      <c r="U132" s="38">
        <v>0</v>
      </c>
      <c r="V132" s="38">
        <f t="shared" si="28"/>
        <v>0</v>
      </c>
      <c r="W132" s="38">
        <v>0</v>
      </c>
      <c r="X132" s="38">
        <v>0</v>
      </c>
      <c r="Y132" s="38">
        <f t="shared" si="29"/>
        <v>0</v>
      </c>
      <c r="Z132" s="38">
        <v>0</v>
      </c>
      <c r="AA132" s="38">
        <v>0</v>
      </c>
      <c r="AB132" s="38">
        <f t="shared" si="30"/>
        <v>0</v>
      </c>
      <c r="AC132" s="38">
        <v>0</v>
      </c>
      <c r="AD132" s="38">
        <v>0</v>
      </c>
      <c r="AE132" s="38">
        <f t="shared" si="31"/>
        <v>0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</row>
    <row r="133" spans="1:255" ht="47.25" x14ac:dyDescent="0.25">
      <c r="A133" s="39" t="s">
        <v>134</v>
      </c>
      <c r="B133" s="37">
        <v>3</v>
      </c>
      <c r="C133" s="37">
        <v>239</v>
      </c>
      <c r="D133" s="40">
        <v>5203</v>
      </c>
      <c r="E133" s="38">
        <f t="shared" si="23"/>
        <v>3479</v>
      </c>
      <c r="F133" s="38">
        <f t="shared" si="23"/>
        <v>3479</v>
      </c>
      <c r="G133" s="38">
        <f t="shared" si="23"/>
        <v>0</v>
      </c>
      <c r="H133" s="38">
        <v>0</v>
      </c>
      <c r="I133" s="38">
        <v>0</v>
      </c>
      <c r="J133" s="38">
        <f t="shared" si="24"/>
        <v>0</v>
      </c>
      <c r="K133" s="38">
        <v>0</v>
      </c>
      <c r="L133" s="38">
        <v>0</v>
      </c>
      <c r="M133" s="38">
        <f t="shared" si="25"/>
        <v>0</v>
      </c>
      <c r="N133" s="38">
        <v>3479</v>
      </c>
      <c r="O133" s="38">
        <v>3479</v>
      </c>
      <c r="P133" s="38">
        <f t="shared" si="26"/>
        <v>0</v>
      </c>
      <c r="Q133" s="38">
        <v>0</v>
      </c>
      <c r="R133" s="38">
        <v>0</v>
      </c>
      <c r="S133" s="38">
        <f t="shared" si="27"/>
        <v>0</v>
      </c>
      <c r="T133" s="38">
        <v>0</v>
      </c>
      <c r="U133" s="38">
        <v>0</v>
      </c>
      <c r="V133" s="38">
        <f t="shared" si="28"/>
        <v>0</v>
      </c>
      <c r="W133" s="38">
        <v>0</v>
      </c>
      <c r="X133" s="38">
        <v>0</v>
      </c>
      <c r="Y133" s="38">
        <f t="shared" si="29"/>
        <v>0</v>
      </c>
      <c r="Z133" s="38">
        <v>0</v>
      </c>
      <c r="AA133" s="38">
        <v>0</v>
      </c>
      <c r="AB133" s="38">
        <f t="shared" si="30"/>
        <v>0</v>
      </c>
      <c r="AC133" s="38">
        <v>0</v>
      </c>
      <c r="AD133" s="38">
        <v>0</v>
      </c>
      <c r="AE133" s="38">
        <f t="shared" si="31"/>
        <v>0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</row>
    <row r="134" spans="1:255" x14ac:dyDescent="0.25">
      <c r="A134" s="26" t="s">
        <v>127</v>
      </c>
      <c r="B134" s="34"/>
      <c r="C134" s="34"/>
      <c r="D134" s="34"/>
      <c r="E134" s="27">
        <f t="shared" si="23"/>
        <v>104570</v>
      </c>
      <c r="F134" s="27">
        <f t="shared" si="23"/>
        <v>104570</v>
      </c>
      <c r="G134" s="27">
        <f t="shared" si="23"/>
        <v>0</v>
      </c>
      <c r="H134" s="27">
        <f>SUM(H135:H135)</f>
        <v>0</v>
      </c>
      <c r="I134" s="27">
        <f>SUM(I135:I135)</f>
        <v>0</v>
      </c>
      <c r="J134" s="27">
        <f t="shared" si="24"/>
        <v>0</v>
      </c>
      <c r="K134" s="27">
        <f>SUM(K135:K135)</f>
        <v>0</v>
      </c>
      <c r="L134" s="27">
        <f>SUM(L135:L135)</f>
        <v>0</v>
      </c>
      <c r="M134" s="27">
        <f t="shared" si="25"/>
        <v>0</v>
      </c>
      <c r="N134" s="27">
        <f>SUM(N135:N135)</f>
        <v>0</v>
      </c>
      <c r="O134" s="27">
        <f>SUM(O135:O135)</f>
        <v>0</v>
      </c>
      <c r="P134" s="27">
        <f t="shared" si="26"/>
        <v>0</v>
      </c>
      <c r="Q134" s="27">
        <f>SUM(Q135:Q135)</f>
        <v>0</v>
      </c>
      <c r="R134" s="27">
        <f>SUM(R135:R135)</f>
        <v>0</v>
      </c>
      <c r="S134" s="27">
        <f t="shared" si="27"/>
        <v>0</v>
      </c>
      <c r="T134" s="27">
        <f>SUM(T135:T135)</f>
        <v>0</v>
      </c>
      <c r="U134" s="27">
        <f>SUM(U135:U135)</f>
        <v>0</v>
      </c>
      <c r="V134" s="27">
        <f t="shared" si="28"/>
        <v>0</v>
      </c>
      <c r="W134" s="27">
        <f>SUM(W135:W135)</f>
        <v>0</v>
      </c>
      <c r="X134" s="27">
        <f>SUM(X135:X135)</f>
        <v>0</v>
      </c>
      <c r="Y134" s="27">
        <f t="shared" si="29"/>
        <v>0</v>
      </c>
      <c r="Z134" s="27">
        <f>SUM(Z135:Z135)</f>
        <v>0</v>
      </c>
      <c r="AA134" s="27">
        <f>SUM(AA135:AA135)</f>
        <v>0</v>
      </c>
      <c r="AB134" s="27">
        <f t="shared" si="30"/>
        <v>0</v>
      </c>
      <c r="AC134" s="27">
        <f>SUM(AC135:AC135)</f>
        <v>104570</v>
      </c>
      <c r="AD134" s="27">
        <f>SUM(AD135:AD135)</f>
        <v>104570</v>
      </c>
      <c r="AE134" s="27">
        <f t="shared" si="31"/>
        <v>0</v>
      </c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</row>
    <row r="135" spans="1:255" ht="31.5" x14ac:dyDescent="0.25">
      <c r="A135" s="35" t="s">
        <v>135</v>
      </c>
      <c r="B135" s="36"/>
      <c r="C135" s="36"/>
      <c r="D135" s="37"/>
      <c r="E135" s="38">
        <f t="shared" ref="E135:G203" si="46">H135+K135+N135+Q135+T135+W135+Z135+AC135</f>
        <v>104570</v>
      </c>
      <c r="F135" s="38">
        <f t="shared" si="46"/>
        <v>104570</v>
      </c>
      <c r="G135" s="38">
        <f t="shared" si="46"/>
        <v>0</v>
      </c>
      <c r="H135" s="38">
        <v>0</v>
      </c>
      <c r="I135" s="38">
        <v>0</v>
      </c>
      <c r="J135" s="38">
        <f t="shared" ref="J135:J203" si="47">I135-H135</f>
        <v>0</v>
      </c>
      <c r="K135" s="38">
        <v>0</v>
      </c>
      <c r="L135" s="38">
        <v>0</v>
      </c>
      <c r="M135" s="38">
        <f t="shared" ref="M135:M203" si="48">L135-K135</f>
        <v>0</v>
      </c>
      <c r="N135" s="38">
        <v>0</v>
      </c>
      <c r="O135" s="38">
        <v>0</v>
      </c>
      <c r="P135" s="38">
        <f t="shared" ref="P135:P203" si="49">O135-N135</f>
        <v>0</v>
      </c>
      <c r="Q135" s="38">
        <v>0</v>
      </c>
      <c r="R135" s="38">
        <v>0</v>
      </c>
      <c r="S135" s="38">
        <f t="shared" ref="S135:S203" si="50">R135-Q135</f>
        <v>0</v>
      </c>
      <c r="T135" s="38">
        <v>0</v>
      </c>
      <c r="U135" s="38">
        <v>0</v>
      </c>
      <c r="V135" s="38">
        <f t="shared" ref="V135:V203" si="51">U135-T135</f>
        <v>0</v>
      </c>
      <c r="W135" s="38">
        <v>0</v>
      </c>
      <c r="X135" s="38">
        <v>0</v>
      </c>
      <c r="Y135" s="38">
        <f t="shared" ref="Y135:Y203" si="52">X135-W135</f>
        <v>0</v>
      </c>
      <c r="Z135" s="38">
        <v>0</v>
      </c>
      <c r="AA135" s="38">
        <v>0</v>
      </c>
      <c r="AB135" s="38">
        <f t="shared" ref="AB135:AB203" si="53">AA135-Z135</f>
        <v>0</v>
      </c>
      <c r="AC135" s="38">
        <f>45990+29290+29290</f>
        <v>104570</v>
      </c>
      <c r="AD135" s="38">
        <f>45990+29290+29290</f>
        <v>104570</v>
      </c>
      <c r="AE135" s="38">
        <f t="shared" ref="AE135:AE203" si="54">AD135-AC135</f>
        <v>0</v>
      </c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</row>
    <row r="136" spans="1:255" x14ac:dyDescent="0.25">
      <c r="A136" s="26" t="s">
        <v>50</v>
      </c>
      <c r="B136" s="34"/>
      <c r="C136" s="34"/>
      <c r="D136" s="34"/>
      <c r="E136" s="27">
        <f t="shared" si="46"/>
        <v>6827952</v>
      </c>
      <c r="F136" s="27">
        <f t="shared" si="46"/>
        <v>7049053</v>
      </c>
      <c r="G136" s="27">
        <f t="shared" si="46"/>
        <v>221101</v>
      </c>
      <c r="H136" s="27">
        <f>SUM(H137,H151,H170,H149)</f>
        <v>0</v>
      </c>
      <c r="I136" s="27">
        <f>SUM(I137,I151,I170,I149)</f>
        <v>0</v>
      </c>
      <c r="J136" s="27">
        <f t="shared" si="47"/>
        <v>0</v>
      </c>
      <c r="K136" s="27">
        <f t="shared" ref="K136:L136" si="55">SUM(K137,K151,K170,K149)</f>
        <v>0</v>
      </c>
      <c r="L136" s="27">
        <f t="shared" si="55"/>
        <v>0</v>
      </c>
      <c r="M136" s="27">
        <f t="shared" si="48"/>
        <v>0</v>
      </c>
      <c r="N136" s="27">
        <f t="shared" ref="N136:O136" si="56">SUM(N137,N151,N170,N149)</f>
        <v>53098</v>
      </c>
      <c r="O136" s="27">
        <f t="shared" si="56"/>
        <v>89775</v>
      </c>
      <c r="P136" s="27">
        <f t="shared" si="49"/>
        <v>36677</v>
      </c>
      <c r="Q136" s="27">
        <f t="shared" ref="Q136:R136" si="57">SUM(Q137,Q151,Q170,Q149)</f>
        <v>6069</v>
      </c>
      <c r="R136" s="27">
        <f t="shared" si="57"/>
        <v>6069</v>
      </c>
      <c r="S136" s="27">
        <f t="shared" si="50"/>
        <v>0</v>
      </c>
      <c r="T136" s="27">
        <f t="shared" ref="T136:U136" si="58">SUM(T137,T151,T170,T149)</f>
        <v>167511</v>
      </c>
      <c r="U136" s="27">
        <f t="shared" si="58"/>
        <v>177359</v>
      </c>
      <c r="V136" s="27">
        <f t="shared" si="51"/>
        <v>9848</v>
      </c>
      <c r="W136" s="27">
        <f t="shared" ref="W136:X136" si="59">SUM(W137,W151,W170,W149)</f>
        <v>0</v>
      </c>
      <c r="X136" s="27">
        <f t="shared" si="59"/>
        <v>140766</v>
      </c>
      <c r="Y136" s="27">
        <f t="shared" si="52"/>
        <v>140766</v>
      </c>
      <c r="Z136" s="27">
        <f t="shared" ref="Z136:AA136" si="60">SUM(Z137,Z151,Z170,Z149)</f>
        <v>4060</v>
      </c>
      <c r="AA136" s="27">
        <f t="shared" si="60"/>
        <v>37870</v>
      </c>
      <c r="AB136" s="27">
        <f t="shared" si="53"/>
        <v>33810</v>
      </c>
      <c r="AC136" s="27">
        <f t="shared" ref="AC136:AD136" si="61">SUM(AC137,AC151,AC170,AC149)</f>
        <v>6597214</v>
      </c>
      <c r="AD136" s="27">
        <f t="shared" si="61"/>
        <v>6597214</v>
      </c>
      <c r="AE136" s="27">
        <f t="shared" si="54"/>
        <v>0</v>
      </c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</row>
    <row r="137" spans="1:255" x14ac:dyDescent="0.25">
      <c r="A137" s="26" t="s">
        <v>110</v>
      </c>
      <c r="B137" s="34"/>
      <c r="C137" s="34"/>
      <c r="D137" s="34"/>
      <c r="E137" s="27">
        <f t="shared" si="46"/>
        <v>51818</v>
      </c>
      <c r="F137" s="27">
        <f t="shared" si="46"/>
        <v>65288</v>
      </c>
      <c r="G137" s="27">
        <f t="shared" si="46"/>
        <v>13470</v>
      </c>
      <c r="H137" s="27">
        <f>SUM(H138:H148)</f>
        <v>0</v>
      </c>
      <c r="I137" s="27">
        <f>SUM(I138:I148)</f>
        <v>0</v>
      </c>
      <c r="J137" s="27">
        <f t="shared" si="47"/>
        <v>0</v>
      </c>
      <c r="K137" s="27">
        <f>SUM(K138:K148)</f>
        <v>0</v>
      </c>
      <c r="L137" s="27">
        <f>SUM(L138:L148)</f>
        <v>0</v>
      </c>
      <c r="M137" s="27">
        <f t="shared" si="48"/>
        <v>0</v>
      </c>
      <c r="N137" s="27">
        <f>SUM(N138:N148)</f>
        <v>28231</v>
      </c>
      <c r="O137" s="27">
        <f>SUM(O138:O148)</f>
        <v>41701</v>
      </c>
      <c r="P137" s="27">
        <f t="shared" si="49"/>
        <v>13470</v>
      </c>
      <c r="Q137" s="27">
        <f>SUM(Q138:Q148)</f>
        <v>6069</v>
      </c>
      <c r="R137" s="27">
        <f>SUM(R138:R148)</f>
        <v>6069</v>
      </c>
      <c r="S137" s="27">
        <f t="shared" si="50"/>
        <v>0</v>
      </c>
      <c r="T137" s="27">
        <f>SUM(T138:T148)</f>
        <v>17518</v>
      </c>
      <c r="U137" s="27">
        <f>SUM(U138:U148)</f>
        <v>17518</v>
      </c>
      <c r="V137" s="27">
        <f t="shared" si="51"/>
        <v>0</v>
      </c>
      <c r="W137" s="27">
        <f>SUM(W138:W148)</f>
        <v>0</v>
      </c>
      <c r="X137" s="27">
        <f>SUM(X138:X148)</f>
        <v>0</v>
      </c>
      <c r="Y137" s="27">
        <f t="shared" si="52"/>
        <v>0</v>
      </c>
      <c r="Z137" s="27">
        <f>SUM(Z138:Z148)</f>
        <v>0</v>
      </c>
      <c r="AA137" s="27">
        <f>SUM(AA138:AA148)</f>
        <v>0</v>
      </c>
      <c r="AB137" s="27">
        <f t="shared" si="53"/>
        <v>0</v>
      </c>
      <c r="AC137" s="27">
        <f>SUM(AC138:AC148)</f>
        <v>0</v>
      </c>
      <c r="AD137" s="27">
        <f>SUM(AD138:AD148)</f>
        <v>0</v>
      </c>
      <c r="AE137" s="27">
        <f t="shared" si="54"/>
        <v>0</v>
      </c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</row>
    <row r="138" spans="1:255" ht="31.5" x14ac:dyDescent="0.25">
      <c r="A138" s="35" t="s">
        <v>136</v>
      </c>
      <c r="B138" s="36">
        <v>1</v>
      </c>
      <c r="C138" s="36">
        <v>322</v>
      </c>
      <c r="D138" s="36">
        <v>5201</v>
      </c>
      <c r="E138" s="38">
        <f t="shared" si="46"/>
        <v>9426</v>
      </c>
      <c r="F138" s="38">
        <f t="shared" si="46"/>
        <v>9426</v>
      </c>
      <c r="G138" s="38">
        <f t="shared" si="46"/>
        <v>0</v>
      </c>
      <c r="H138" s="38">
        <v>0</v>
      </c>
      <c r="I138" s="38">
        <v>0</v>
      </c>
      <c r="J138" s="38">
        <f t="shared" si="47"/>
        <v>0</v>
      </c>
      <c r="K138" s="38">
        <v>0</v>
      </c>
      <c r="L138" s="38">
        <v>0</v>
      </c>
      <c r="M138" s="38">
        <f t="shared" si="48"/>
        <v>0</v>
      </c>
      <c r="N138" s="38">
        <v>4913</v>
      </c>
      <c r="O138" s="38">
        <v>4913</v>
      </c>
      <c r="P138" s="38">
        <f t="shared" si="49"/>
        <v>0</v>
      </c>
      <c r="Q138" s="38"/>
      <c r="R138" s="38"/>
      <c r="S138" s="38">
        <f t="shared" si="50"/>
        <v>0</v>
      </c>
      <c r="T138" s="38">
        <f>4513</f>
        <v>4513</v>
      </c>
      <c r="U138" s="38">
        <f>4513</f>
        <v>4513</v>
      </c>
      <c r="V138" s="38">
        <f t="shared" si="51"/>
        <v>0</v>
      </c>
      <c r="W138" s="38">
        <v>0</v>
      </c>
      <c r="X138" s="38">
        <v>0</v>
      </c>
      <c r="Y138" s="38">
        <f t="shared" si="52"/>
        <v>0</v>
      </c>
      <c r="Z138" s="38">
        <v>0</v>
      </c>
      <c r="AA138" s="38">
        <v>0</v>
      </c>
      <c r="AB138" s="38">
        <f t="shared" si="53"/>
        <v>0</v>
      </c>
      <c r="AC138" s="38">
        <v>0</v>
      </c>
      <c r="AD138" s="38">
        <v>0</v>
      </c>
      <c r="AE138" s="38">
        <f t="shared" si="54"/>
        <v>0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</row>
    <row r="139" spans="1:255" x14ac:dyDescent="0.25">
      <c r="A139" s="35" t="s">
        <v>137</v>
      </c>
      <c r="B139" s="36">
        <v>2</v>
      </c>
      <c r="C139" s="36">
        <v>389</v>
      </c>
      <c r="D139" s="36">
        <v>5201</v>
      </c>
      <c r="E139" s="38">
        <f t="shared" si="46"/>
        <v>1483</v>
      </c>
      <c r="F139" s="38">
        <f t="shared" si="46"/>
        <v>1483</v>
      </c>
      <c r="G139" s="38">
        <f t="shared" si="46"/>
        <v>0</v>
      </c>
      <c r="H139" s="38">
        <v>0</v>
      </c>
      <c r="I139" s="38">
        <v>0</v>
      </c>
      <c r="J139" s="38">
        <f t="shared" si="47"/>
        <v>0</v>
      </c>
      <c r="K139" s="38">
        <v>0</v>
      </c>
      <c r="L139" s="38">
        <v>0</v>
      </c>
      <c r="M139" s="38">
        <f t="shared" si="48"/>
        <v>0</v>
      </c>
      <c r="N139" s="38">
        <v>1483</v>
      </c>
      <c r="O139" s="38">
        <v>1483</v>
      </c>
      <c r="P139" s="38">
        <f t="shared" si="49"/>
        <v>0</v>
      </c>
      <c r="Q139" s="38"/>
      <c r="R139" s="38"/>
      <c r="S139" s="38">
        <f t="shared" si="50"/>
        <v>0</v>
      </c>
      <c r="T139" s="38"/>
      <c r="U139" s="38"/>
      <c r="V139" s="38">
        <f t="shared" si="51"/>
        <v>0</v>
      </c>
      <c r="W139" s="38">
        <v>0</v>
      </c>
      <c r="X139" s="38">
        <v>0</v>
      </c>
      <c r="Y139" s="38">
        <f t="shared" si="52"/>
        <v>0</v>
      </c>
      <c r="Z139" s="38">
        <v>0</v>
      </c>
      <c r="AA139" s="38">
        <v>0</v>
      </c>
      <c r="AB139" s="38">
        <f t="shared" si="53"/>
        <v>0</v>
      </c>
      <c r="AC139" s="38">
        <v>0</v>
      </c>
      <c r="AD139" s="38">
        <v>0</v>
      </c>
      <c r="AE139" s="38">
        <f t="shared" si="54"/>
        <v>0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</row>
    <row r="140" spans="1:255" ht="31.5" x14ac:dyDescent="0.25">
      <c r="A140" s="35" t="s">
        <v>138</v>
      </c>
      <c r="B140" s="36">
        <v>1</v>
      </c>
      <c r="C140" s="36">
        <v>322</v>
      </c>
      <c r="D140" s="36">
        <v>5201</v>
      </c>
      <c r="E140" s="38">
        <f t="shared" si="46"/>
        <v>13005</v>
      </c>
      <c r="F140" s="38">
        <f t="shared" si="46"/>
        <v>13005</v>
      </c>
      <c r="G140" s="38">
        <f t="shared" si="46"/>
        <v>0</v>
      </c>
      <c r="H140" s="38">
        <v>0</v>
      </c>
      <c r="I140" s="38">
        <v>0</v>
      </c>
      <c r="J140" s="38">
        <f t="shared" si="47"/>
        <v>0</v>
      </c>
      <c r="K140" s="38">
        <v>0</v>
      </c>
      <c r="L140" s="38">
        <v>0</v>
      </c>
      <c r="M140" s="38">
        <f t="shared" si="48"/>
        <v>0</v>
      </c>
      <c r="N140" s="38">
        <v>0</v>
      </c>
      <c r="O140" s="38">
        <v>0</v>
      </c>
      <c r="P140" s="38">
        <f t="shared" si="49"/>
        <v>0</v>
      </c>
      <c r="Q140" s="38"/>
      <c r="R140" s="38"/>
      <c r="S140" s="38">
        <f t="shared" si="50"/>
        <v>0</v>
      </c>
      <c r="T140" s="38">
        <v>13005</v>
      </c>
      <c r="U140" s="38">
        <v>13005</v>
      </c>
      <c r="V140" s="38">
        <f t="shared" si="51"/>
        <v>0</v>
      </c>
      <c r="W140" s="38">
        <v>0</v>
      </c>
      <c r="X140" s="38">
        <v>0</v>
      </c>
      <c r="Y140" s="38">
        <f t="shared" si="52"/>
        <v>0</v>
      </c>
      <c r="Z140" s="38">
        <v>0</v>
      </c>
      <c r="AA140" s="38">
        <v>0</v>
      </c>
      <c r="AB140" s="38">
        <f t="shared" si="53"/>
        <v>0</v>
      </c>
      <c r="AC140" s="38">
        <v>0</v>
      </c>
      <c r="AD140" s="38">
        <v>0</v>
      </c>
      <c r="AE140" s="38">
        <f t="shared" si="54"/>
        <v>0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</row>
    <row r="141" spans="1:255" ht="31.5" x14ac:dyDescent="0.25">
      <c r="A141" s="35" t="s">
        <v>139</v>
      </c>
      <c r="B141" s="36">
        <v>1</v>
      </c>
      <c r="C141" s="36">
        <v>326</v>
      </c>
      <c r="D141" s="36">
        <v>5201</v>
      </c>
      <c r="E141" s="38">
        <f t="shared" si="46"/>
        <v>19773</v>
      </c>
      <c r="F141" s="38">
        <f t="shared" si="46"/>
        <v>19773</v>
      </c>
      <c r="G141" s="38">
        <f t="shared" si="46"/>
        <v>0</v>
      </c>
      <c r="H141" s="38">
        <v>0</v>
      </c>
      <c r="I141" s="38">
        <v>0</v>
      </c>
      <c r="J141" s="38">
        <f t="shared" si="47"/>
        <v>0</v>
      </c>
      <c r="K141" s="38">
        <v>0</v>
      </c>
      <c r="L141" s="38">
        <v>0</v>
      </c>
      <c r="M141" s="38">
        <f t="shared" si="48"/>
        <v>0</v>
      </c>
      <c r="N141" s="38">
        <v>19773</v>
      </c>
      <c r="O141" s="38">
        <v>19773</v>
      </c>
      <c r="P141" s="38">
        <f t="shared" si="49"/>
        <v>0</v>
      </c>
      <c r="Q141" s="38"/>
      <c r="R141" s="38"/>
      <c r="S141" s="38">
        <f t="shared" si="50"/>
        <v>0</v>
      </c>
      <c r="T141" s="38">
        <v>0</v>
      </c>
      <c r="U141" s="38">
        <v>0</v>
      </c>
      <c r="V141" s="38">
        <f t="shared" si="51"/>
        <v>0</v>
      </c>
      <c r="W141" s="38">
        <v>0</v>
      </c>
      <c r="X141" s="38">
        <v>0</v>
      </c>
      <c r="Y141" s="38">
        <f t="shared" si="52"/>
        <v>0</v>
      </c>
      <c r="Z141" s="38">
        <v>0</v>
      </c>
      <c r="AA141" s="38">
        <v>0</v>
      </c>
      <c r="AB141" s="38">
        <f t="shared" si="53"/>
        <v>0</v>
      </c>
      <c r="AC141" s="38">
        <v>0</v>
      </c>
      <c r="AD141" s="38">
        <v>0</v>
      </c>
      <c r="AE141" s="38">
        <f t="shared" si="54"/>
        <v>0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</row>
    <row r="142" spans="1:255" ht="31.5" x14ac:dyDescent="0.25">
      <c r="A142" s="42" t="s">
        <v>140</v>
      </c>
      <c r="B142" s="40">
        <v>1</v>
      </c>
      <c r="C142" s="40">
        <v>322</v>
      </c>
      <c r="D142" s="40">
        <v>5201</v>
      </c>
      <c r="E142" s="38">
        <f t="shared" si="46"/>
        <v>0</v>
      </c>
      <c r="F142" s="38">
        <f t="shared" si="46"/>
        <v>5000</v>
      </c>
      <c r="G142" s="38">
        <f t="shared" si="46"/>
        <v>5000</v>
      </c>
      <c r="H142" s="38">
        <v>0</v>
      </c>
      <c r="I142" s="38">
        <v>0</v>
      </c>
      <c r="J142" s="38">
        <f t="shared" si="47"/>
        <v>0</v>
      </c>
      <c r="K142" s="38">
        <v>0</v>
      </c>
      <c r="L142" s="38">
        <v>0</v>
      </c>
      <c r="M142" s="38">
        <f t="shared" si="48"/>
        <v>0</v>
      </c>
      <c r="N142" s="38">
        <v>0</v>
      </c>
      <c r="O142" s="38">
        <v>5000</v>
      </c>
      <c r="P142" s="38">
        <f t="shared" si="49"/>
        <v>5000</v>
      </c>
      <c r="Q142" s="38">
        <v>0</v>
      </c>
      <c r="R142" s="38">
        <v>0</v>
      </c>
      <c r="S142" s="38">
        <f t="shared" si="50"/>
        <v>0</v>
      </c>
      <c r="T142" s="38">
        <v>0</v>
      </c>
      <c r="U142" s="38">
        <v>0</v>
      </c>
      <c r="V142" s="38">
        <f t="shared" si="51"/>
        <v>0</v>
      </c>
      <c r="W142" s="38">
        <v>0</v>
      </c>
      <c r="X142" s="38">
        <v>0</v>
      </c>
      <c r="Y142" s="38">
        <f t="shared" si="52"/>
        <v>0</v>
      </c>
      <c r="Z142" s="38">
        <v>0</v>
      </c>
      <c r="AA142" s="38">
        <v>0</v>
      </c>
      <c r="AB142" s="38">
        <f t="shared" si="53"/>
        <v>0</v>
      </c>
      <c r="AC142" s="38">
        <v>0</v>
      </c>
      <c r="AD142" s="38">
        <v>0</v>
      </c>
      <c r="AE142" s="38">
        <f t="shared" si="54"/>
        <v>0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</row>
    <row r="143" spans="1:255" ht="31.5" x14ac:dyDescent="0.25">
      <c r="A143" s="35" t="s">
        <v>141</v>
      </c>
      <c r="B143" s="36">
        <v>1</v>
      </c>
      <c r="C143" s="36">
        <v>311</v>
      </c>
      <c r="D143" s="36">
        <v>5201</v>
      </c>
      <c r="E143" s="38">
        <f t="shared" si="46"/>
        <v>0</v>
      </c>
      <c r="F143" s="38">
        <f t="shared" si="46"/>
        <v>3381</v>
      </c>
      <c r="G143" s="38">
        <f t="shared" si="46"/>
        <v>3381</v>
      </c>
      <c r="H143" s="38">
        <v>0</v>
      </c>
      <c r="I143" s="38">
        <v>0</v>
      </c>
      <c r="J143" s="38">
        <f t="shared" si="47"/>
        <v>0</v>
      </c>
      <c r="K143" s="38">
        <v>0</v>
      </c>
      <c r="L143" s="38">
        <v>0</v>
      </c>
      <c r="M143" s="38">
        <f t="shared" si="48"/>
        <v>0</v>
      </c>
      <c r="N143" s="38">
        <v>0</v>
      </c>
      <c r="O143" s="38">
        <v>3381</v>
      </c>
      <c r="P143" s="38">
        <f t="shared" si="49"/>
        <v>3381</v>
      </c>
      <c r="Q143" s="38"/>
      <c r="R143" s="38"/>
      <c r="S143" s="38">
        <f t="shared" si="50"/>
        <v>0</v>
      </c>
      <c r="T143" s="38">
        <v>0</v>
      </c>
      <c r="U143" s="38">
        <v>0</v>
      </c>
      <c r="V143" s="38">
        <f t="shared" si="51"/>
        <v>0</v>
      </c>
      <c r="W143" s="38">
        <v>0</v>
      </c>
      <c r="X143" s="38">
        <v>0</v>
      </c>
      <c r="Y143" s="38">
        <f t="shared" si="52"/>
        <v>0</v>
      </c>
      <c r="Z143" s="38">
        <v>0</v>
      </c>
      <c r="AA143" s="38">
        <v>0</v>
      </c>
      <c r="AB143" s="38">
        <f t="shared" si="53"/>
        <v>0</v>
      </c>
      <c r="AC143" s="38">
        <v>0</v>
      </c>
      <c r="AD143" s="38">
        <v>0</v>
      </c>
      <c r="AE143" s="38">
        <f t="shared" si="54"/>
        <v>0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</row>
    <row r="144" spans="1:255" x14ac:dyDescent="0.25">
      <c r="A144" s="35" t="s">
        <v>142</v>
      </c>
      <c r="B144" s="36">
        <v>1</v>
      </c>
      <c r="C144" s="36">
        <v>337</v>
      </c>
      <c r="D144" s="36">
        <v>5201</v>
      </c>
      <c r="E144" s="38">
        <f t="shared" si="46"/>
        <v>0</v>
      </c>
      <c r="F144" s="38">
        <f t="shared" si="46"/>
        <v>2734</v>
      </c>
      <c r="G144" s="38">
        <f t="shared" si="46"/>
        <v>2734</v>
      </c>
      <c r="H144" s="38">
        <v>0</v>
      </c>
      <c r="I144" s="38">
        <v>0</v>
      </c>
      <c r="J144" s="38">
        <f t="shared" si="47"/>
        <v>0</v>
      </c>
      <c r="K144" s="38">
        <v>0</v>
      </c>
      <c r="L144" s="38">
        <v>0</v>
      </c>
      <c r="M144" s="38">
        <f t="shared" si="48"/>
        <v>0</v>
      </c>
      <c r="N144" s="38">
        <v>0</v>
      </c>
      <c r="O144" s="38">
        <v>2734</v>
      </c>
      <c r="P144" s="38">
        <f t="shared" si="49"/>
        <v>2734</v>
      </c>
      <c r="Q144" s="38"/>
      <c r="R144" s="38"/>
      <c r="S144" s="38">
        <f t="shared" si="50"/>
        <v>0</v>
      </c>
      <c r="T144" s="38">
        <v>0</v>
      </c>
      <c r="U144" s="38">
        <v>0</v>
      </c>
      <c r="V144" s="38">
        <f t="shared" si="51"/>
        <v>0</v>
      </c>
      <c r="W144" s="38">
        <v>0</v>
      </c>
      <c r="X144" s="38">
        <v>0</v>
      </c>
      <c r="Y144" s="38">
        <f t="shared" si="52"/>
        <v>0</v>
      </c>
      <c r="Z144" s="38">
        <v>0</v>
      </c>
      <c r="AA144" s="38">
        <v>0</v>
      </c>
      <c r="AB144" s="38">
        <f t="shared" si="53"/>
        <v>0</v>
      </c>
      <c r="AC144" s="38">
        <v>0</v>
      </c>
      <c r="AD144" s="38">
        <v>0</v>
      </c>
      <c r="AE144" s="38">
        <f t="shared" si="54"/>
        <v>0</v>
      </c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</row>
    <row r="145" spans="1:255" ht="31.5" x14ac:dyDescent="0.25">
      <c r="A145" s="35" t="s">
        <v>143</v>
      </c>
      <c r="B145" s="36">
        <v>1</v>
      </c>
      <c r="C145" s="36">
        <v>311</v>
      </c>
      <c r="D145" s="36">
        <v>5201</v>
      </c>
      <c r="E145" s="38">
        <f t="shared" si="46"/>
        <v>2062</v>
      </c>
      <c r="F145" s="38">
        <f t="shared" si="46"/>
        <v>3545</v>
      </c>
      <c r="G145" s="38">
        <f t="shared" si="46"/>
        <v>1483</v>
      </c>
      <c r="H145" s="38">
        <v>0</v>
      </c>
      <c r="I145" s="38">
        <v>0</v>
      </c>
      <c r="J145" s="38">
        <f t="shared" si="47"/>
        <v>0</v>
      </c>
      <c r="K145" s="38">
        <v>0</v>
      </c>
      <c r="L145" s="38">
        <v>0</v>
      </c>
      <c r="M145" s="38">
        <f t="shared" si="48"/>
        <v>0</v>
      </c>
      <c r="N145" s="38">
        <f>1031+1031</f>
        <v>2062</v>
      </c>
      <c r="O145" s="38">
        <f>1031+1031+872+611</f>
        <v>3545</v>
      </c>
      <c r="P145" s="38">
        <f t="shared" si="49"/>
        <v>1483</v>
      </c>
      <c r="Q145" s="38"/>
      <c r="R145" s="38"/>
      <c r="S145" s="38">
        <f t="shared" si="50"/>
        <v>0</v>
      </c>
      <c r="T145" s="38">
        <v>0</v>
      </c>
      <c r="U145" s="38">
        <v>0</v>
      </c>
      <c r="V145" s="38">
        <f t="shared" si="51"/>
        <v>0</v>
      </c>
      <c r="W145" s="38">
        <v>0</v>
      </c>
      <c r="X145" s="38">
        <v>0</v>
      </c>
      <c r="Y145" s="38">
        <f t="shared" si="52"/>
        <v>0</v>
      </c>
      <c r="Z145" s="38">
        <v>0</v>
      </c>
      <c r="AA145" s="38">
        <v>0</v>
      </c>
      <c r="AB145" s="38">
        <f t="shared" si="53"/>
        <v>0</v>
      </c>
      <c r="AC145" s="38">
        <v>0</v>
      </c>
      <c r="AD145" s="38">
        <v>0</v>
      </c>
      <c r="AE145" s="38">
        <f t="shared" si="54"/>
        <v>0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</row>
    <row r="146" spans="1:255" ht="47.25" x14ac:dyDescent="0.25">
      <c r="A146" s="35" t="s">
        <v>144</v>
      </c>
      <c r="B146" s="36">
        <v>2</v>
      </c>
      <c r="C146" s="36">
        <v>336</v>
      </c>
      <c r="D146" s="36">
        <v>5201</v>
      </c>
      <c r="E146" s="38">
        <f t="shared" si="46"/>
        <v>0</v>
      </c>
      <c r="F146" s="38">
        <f t="shared" si="46"/>
        <v>872</v>
      </c>
      <c r="G146" s="38">
        <f t="shared" si="46"/>
        <v>872</v>
      </c>
      <c r="H146" s="38">
        <v>0</v>
      </c>
      <c r="I146" s="38">
        <v>0</v>
      </c>
      <c r="J146" s="38">
        <f t="shared" si="47"/>
        <v>0</v>
      </c>
      <c r="K146" s="38">
        <v>0</v>
      </c>
      <c r="L146" s="38">
        <v>0</v>
      </c>
      <c r="M146" s="38">
        <f t="shared" si="48"/>
        <v>0</v>
      </c>
      <c r="N146" s="38">
        <v>0</v>
      </c>
      <c r="O146" s="38">
        <v>872</v>
      </c>
      <c r="P146" s="38">
        <f t="shared" si="49"/>
        <v>872</v>
      </c>
      <c r="Q146" s="38"/>
      <c r="R146" s="38"/>
      <c r="S146" s="38">
        <f t="shared" si="50"/>
        <v>0</v>
      </c>
      <c r="T146" s="38">
        <v>0</v>
      </c>
      <c r="U146" s="38">
        <v>0</v>
      </c>
      <c r="V146" s="38">
        <f t="shared" si="51"/>
        <v>0</v>
      </c>
      <c r="W146" s="38">
        <v>0</v>
      </c>
      <c r="X146" s="38">
        <v>0</v>
      </c>
      <c r="Y146" s="38">
        <f t="shared" si="52"/>
        <v>0</v>
      </c>
      <c r="Z146" s="38">
        <v>0</v>
      </c>
      <c r="AA146" s="38">
        <v>0</v>
      </c>
      <c r="AB146" s="38">
        <f t="shared" si="53"/>
        <v>0</v>
      </c>
      <c r="AC146" s="38">
        <v>0</v>
      </c>
      <c r="AD146" s="38">
        <v>0</v>
      </c>
      <c r="AE146" s="38">
        <f t="shared" si="54"/>
        <v>0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</row>
    <row r="147" spans="1:255" ht="63" x14ac:dyDescent="0.25">
      <c r="A147" s="35" t="s">
        <v>145</v>
      </c>
      <c r="B147" s="36"/>
      <c r="C147" s="36"/>
      <c r="D147" s="36"/>
      <c r="E147" s="38">
        <f t="shared" si="46"/>
        <v>5038</v>
      </c>
      <c r="F147" s="38">
        <f t="shared" si="46"/>
        <v>5038</v>
      </c>
      <c r="G147" s="38">
        <f t="shared" si="46"/>
        <v>0</v>
      </c>
      <c r="H147" s="38">
        <v>0</v>
      </c>
      <c r="I147" s="38">
        <v>0</v>
      </c>
      <c r="J147" s="38">
        <f t="shared" si="47"/>
        <v>0</v>
      </c>
      <c r="K147" s="38">
        <v>0</v>
      </c>
      <c r="L147" s="38">
        <v>0</v>
      </c>
      <c r="M147" s="38">
        <f t="shared" si="48"/>
        <v>0</v>
      </c>
      <c r="N147" s="38">
        <v>0</v>
      </c>
      <c r="O147" s="38">
        <v>0</v>
      </c>
      <c r="P147" s="38">
        <f t="shared" si="49"/>
        <v>0</v>
      </c>
      <c r="Q147" s="38">
        <v>5038</v>
      </c>
      <c r="R147" s="38">
        <v>5038</v>
      </c>
      <c r="S147" s="38">
        <f t="shared" si="50"/>
        <v>0</v>
      </c>
      <c r="T147" s="38">
        <v>0</v>
      </c>
      <c r="U147" s="38">
        <v>0</v>
      </c>
      <c r="V147" s="38">
        <f t="shared" si="51"/>
        <v>0</v>
      </c>
      <c r="W147" s="38">
        <v>0</v>
      </c>
      <c r="X147" s="38">
        <v>0</v>
      </c>
      <c r="Y147" s="38">
        <f t="shared" si="52"/>
        <v>0</v>
      </c>
      <c r="Z147" s="38">
        <v>0</v>
      </c>
      <c r="AA147" s="38">
        <v>0</v>
      </c>
      <c r="AB147" s="38">
        <f t="shared" si="53"/>
        <v>0</v>
      </c>
      <c r="AC147" s="38">
        <v>0</v>
      </c>
      <c r="AD147" s="38">
        <v>0</v>
      </c>
      <c r="AE147" s="38">
        <f t="shared" si="54"/>
        <v>0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</row>
    <row r="148" spans="1:255" ht="63" x14ac:dyDescent="0.25">
      <c r="A148" s="35" t="s">
        <v>146</v>
      </c>
      <c r="B148" s="36"/>
      <c r="C148" s="36"/>
      <c r="D148" s="36"/>
      <c r="E148" s="38">
        <f t="shared" si="46"/>
        <v>1031</v>
      </c>
      <c r="F148" s="38">
        <f t="shared" si="46"/>
        <v>1031</v>
      </c>
      <c r="G148" s="38">
        <f t="shared" si="46"/>
        <v>0</v>
      </c>
      <c r="H148" s="38">
        <v>0</v>
      </c>
      <c r="I148" s="38">
        <v>0</v>
      </c>
      <c r="J148" s="38">
        <f t="shared" si="47"/>
        <v>0</v>
      </c>
      <c r="K148" s="38">
        <v>0</v>
      </c>
      <c r="L148" s="38">
        <v>0</v>
      </c>
      <c r="M148" s="38">
        <f t="shared" si="48"/>
        <v>0</v>
      </c>
      <c r="N148" s="38">
        <v>0</v>
      </c>
      <c r="O148" s="38">
        <v>0</v>
      </c>
      <c r="P148" s="38">
        <f t="shared" si="49"/>
        <v>0</v>
      </c>
      <c r="Q148" s="38">
        <v>1031</v>
      </c>
      <c r="R148" s="38">
        <v>1031</v>
      </c>
      <c r="S148" s="38">
        <f t="shared" si="50"/>
        <v>0</v>
      </c>
      <c r="T148" s="38">
        <v>0</v>
      </c>
      <c r="U148" s="38">
        <v>0</v>
      </c>
      <c r="V148" s="38">
        <f t="shared" si="51"/>
        <v>0</v>
      </c>
      <c r="W148" s="38">
        <v>0</v>
      </c>
      <c r="X148" s="38">
        <v>0</v>
      </c>
      <c r="Y148" s="38">
        <f t="shared" si="52"/>
        <v>0</v>
      </c>
      <c r="Z148" s="38">
        <v>0</v>
      </c>
      <c r="AA148" s="38">
        <v>0</v>
      </c>
      <c r="AB148" s="38">
        <f t="shared" si="53"/>
        <v>0</v>
      </c>
      <c r="AC148" s="38">
        <v>0</v>
      </c>
      <c r="AD148" s="38">
        <v>0</v>
      </c>
      <c r="AE148" s="38">
        <f t="shared" si="54"/>
        <v>0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</row>
    <row r="149" spans="1:255" x14ac:dyDescent="0.25">
      <c r="A149" s="26" t="s">
        <v>116</v>
      </c>
      <c r="B149" s="34"/>
      <c r="C149" s="34"/>
      <c r="D149" s="34"/>
      <c r="E149" s="27">
        <f t="shared" si="46"/>
        <v>6598316</v>
      </c>
      <c r="F149" s="27">
        <f t="shared" si="46"/>
        <v>6612716</v>
      </c>
      <c r="G149" s="27">
        <f t="shared" si="46"/>
        <v>14400</v>
      </c>
      <c r="H149" s="27">
        <f>SUM(H150:H150)</f>
        <v>0</v>
      </c>
      <c r="I149" s="27">
        <f>SUM(I150:I150)</f>
        <v>0</v>
      </c>
      <c r="J149" s="27">
        <f t="shared" si="47"/>
        <v>0</v>
      </c>
      <c r="K149" s="27">
        <f>SUM(K150:K150)</f>
        <v>0</v>
      </c>
      <c r="L149" s="27">
        <f>SUM(L150:L150)</f>
        <v>0</v>
      </c>
      <c r="M149" s="27">
        <f t="shared" si="48"/>
        <v>0</v>
      </c>
      <c r="N149" s="27">
        <f>SUM(N150:N150)</f>
        <v>1102</v>
      </c>
      <c r="O149" s="27">
        <f>SUM(O150:O150)</f>
        <v>1102</v>
      </c>
      <c r="P149" s="27">
        <f t="shared" si="49"/>
        <v>0</v>
      </c>
      <c r="Q149" s="27">
        <f>SUM(Q150:Q150)</f>
        <v>0</v>
      </c>
      <c r="R149" s="27">
        <f>SUM(R150:R150)</f>
        <v>0</v>
      </c>
      <c r="S149" s="27">
        <f t="shared" si="50"/>
        <v>0</v>
      </c>
      <c r="T149" s="27">
        <f>SUM(T150:T150)</f>
        <v>0</v>
      </c>
      <c r="U149" s="27">
        <f>SUM(U150:U150)</f>
        <v>0</v>
      </c>
      <c r="V149" s="27">
        <f t="shared" si="51"/>
        <v>0</v>
      </c>
      <c r="W149" s="27">
        <f>SUM(W150:W150)</f>
        <v>0</v>
      </c>
      <c r="X149" s="27">
        <f>SUM(X150:X150)</f>
        <v>0</v>
      </c>
      <c r="Y149" s="27">
        <f t="shared" si="52"/>
        <v>0</v>
      </c>
      <c r="Z149" s="27">
        <f>SUM(Z150:Z150)</f>
        <v>0</v>
      </c>
      <c r="AA149" s="27">
        <f>SUM(AA150:AA150)</f>
        <v>14400</v>
      </c>
      <c r="AB149" s="27">
        <f t="shared" si="53"/>
        <v>14400</v>
      </c>
      <c r="AC149" s="27">
        <f>SUM(AC150:AC150)</f>
        <v>6597214</v>
      </c>
      <c r="AD149" s="27">
        <f>SUM(AD150:AD150)</f>
        <v>6597214</v>
      </c>
      <c r="AE149" s="27">
        <f t="shared" si="54"/>
        <v>0</v>
      </c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</row>
    <row r="150" spans="1:255" ht="34.5" customHeight="1" x14ac:dyDescent="0.25">
      <c r="A150" s="35" t="s">
        <v>147</v>
      </c>
      <c r="B150" s="36">
        <v>3</v>
      </c>
      <c r="C150" s="36">
        <v>311</v>
      </c>
      <c r="D150" s="36">
        <v>5202</v>
      </c>
      <c r="E150" s="38">
        <f t="shared" si="46"/>
        <v>6598316</v>
      </c>
      <c r="F150" s="38">
        <f t="shared" si="46"/>
        <v>6612716</v>
      </c>
      <c r="G150" s="38">
        <f t="shared" si="46"/>
        <v>14400</v>
      </c>
      <c r="H150" s="38">
        <v>0</v>
      </c>
      <c r="I150" s="38">
        <v>0</v>
      </c>
      <c r="J150" s="38">
        <f t="shared" si="47"/>
        <v>0</v>
      </c>
      <c r="K150" s="38">
        <v>0</v>
      </c>
      <c r="L150" s="38">
        <v>0</v>
      </c>
      <c r="M150" s="38">
        <f t="shared" si="48"/>
        <v>0</v>
      </c>
      <c r="N150" s="38">
        <v>1102</v>
      </c>
      <c r="O150" s="38">
        <v>1102</v>
      </c>
      <c r="P150" s="38">
        <f t="shared" si="49"/>
        <v>0</v>
      </c>
      <c r="Q150" s="38">
        <v>0</v>
      </c>
      <c r="R150" s="38">
        <v>0</v>
      </c>
      <c r="S150" s="38">
        <f t="shared" si="50"/>
        <v>0</v>
      </c>
      <c r="T150" s="38">
        <v>0</v>
      </c>
      <c r="U150" s="38">
        <v>0</v>
      </c>
      <c r="V150" s="38">
        <f t="shared" si="51"/>
        <v>0</v>
      </c>
      <c r="W150" s="38">
        <v>0</v>
      </c>
      <c r="X150" s="38">
        <v>0</v>
      </c>
      <c r="Y150" s="38">
        <f t="shared" si="52"/>
        <v>0</v>
      </c>
      <c r="Z150" s="38">
        <f>14400-14400</f>
        <v>0</v>
      </c>
      <c r="AA150" s="38">
        <f>14400-14400+14400</f>
        <v>14400</v>
      </c>
      <c r="AB150" s="38">
        <f t="shared" si="53"/>
        <v>14400</v>
      </c>
      <c r="AC150" s="38">
        <f>6189541+407673</f>
        <v>6597214</v>
      </c>
      <c r="AD150" s="38">
        <f>6189541+407673</f>
        <v>6597214</v>
      </c>
      <c r="AE150" s="38">
        <f t="shared" si="54"/>
        <v>0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</row>
    <row r="151" spans="1:255" ht="31.5" x14ac:dyDescent="0.25">
      <c r="A151" s="26" t="s">
        <v>118</v>
      </c>
      <c r="B151" s="34"/>
      <c r="C151" s="34"/>
      <c r="D151" s="34"/>
      <c r="E151" s="27">
        <f t="shared" si="46"/>
        <v>81263</v>
      </c>
      <c r="F151" s="27">
        <f t="shared" si="46"/>
        <v>272762</v>
      </c>
      <c r="G151" s="27">
        <f t="shared" si="46"/>
        <v>191499</v>
      </c>
      <c r="H151" s="27">
        <f>SUM(H152:H169)</f>
        <v>0</v>
      </c>
      <c r="I151" s="27">
        <f>SUM(I152:I169)</f>
        <v>0</v>
      </c>
      <c r="J151" s="27">
        <f t="shared" si="47"/>
        <v>0</v>
      </c>
      <c r="K151" s="27">
        <f>SUM(K152:K169)</f>
        <v>0</v>
      </c>
      <c r="L151" s="27">
        <f>SUM(L152:L169)</f>
        <v>0</v>
      </c>
      <c r="M151" s="27">
        <f t="shared" si="48"/>
        <v>0</v>
      </c>
      <c r="N151" s="27">
        <f>SUM(N152:N169)</f>
        <v>23765</v>
      </c>
      <c r="O151" s="27">
        <f>SUM(O152:O169)</f>
        <v>45240</v>
      </c>
      <c r="P151" s="27">
        <f t="shared" si="49"/>
        <v>21475</v>
      </c>
      <c r="Q151" s="27">
        <f>SUM(Q152:Q169)</f>
        <v>0</v>
      </c>
      <c r="R151" s="27">
        <f>SUM(R152:R169)</f>
        <v>0</v>
      </c>
      <c r="S151" s="27">
        <f t="shared" si="50"/>
        <v>0</v>
      </c>
      <c r="T151" s="27">
        <f>SUM(T152:T169)</f>
        <v>53438</v>
      </c>
      <c r="U151" s="27">
        <f>SUM(U152:U169)</f>
        <v>63286</v>
      </c>
      <c r="V151" s="27">
        <f t="shared" si="51"/>
        <v>9848</v>
      </c>
      <c r="W151" s="27">
        <f>SUM(W152:W169)</f>
        <v>0</v>
      </c>
      <c r="X151" s="27">
        <f>SUM(X152:X169)</f>
        <v>140766</v>
      </c>
      <c r="Y151" s="27">
        <f t="shared" si="52"/>
        <v>140766</v>
      </c>
      <c r="Z151" s="27">
        <f>SUM(Z152:Z169)</f>
        <v>4060</v>
      </c>
      <c r="AA151" s="27">
        <f>SUM(AA152:AA169)</f>
        <v>23470</v>
      </c>
      <c r="AB151" s="27">
        <f t="shared" si="53"/>
        <v>19410</v>
      </c>
      <c r="AC151" s="27">
        <f>SUM(AC152:AC169)</f>
        <v>0</v>
      </c>
      <c r="AD151" s="27">
        <f>SUM(AD152:AD169)</f>
        <v>0</v>
      </c>
      <c r="AE151" s="27">
        <f t="shared" si="54"/>
        <v>0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</row>
    <row r="152" spans="1:255" ht="31.5" x14ac:dyDescent="0.25">
      <c r="A152" s="44" t="s">
        <v>149</v>
      </c>
      <c r="B152" s="40">
        <v>1</v>
      </c>
      <c r="C152" s="40">
        <v>322</v>
      </c>
      <c r="D152" s="40">
        <v>5203</v>
      </c>
      <c r="E152" s="38">
        <f t="shared" si="46"/>
        <v>0</v>
      </c>
      <c r="F152" s="38">
        <f t="shared" si="46"/>
        <v>9848</v>
      </c>
      <c r="G152" s="38">
        <f t="shared" si="46"/>
        <v>9848</v>
      </c>
      <c r="H152" s="38">
        <v>0</v>
      </c>
      <c r="I152" s="38">
        <v>0</v>
      </c>
      <c r="J152" s="38">
        <f t="shared" si="47"/>
        <v>0</v>
      </c>
      <c r="K152" s="38">
        <v>0</v>
      </c>
      <c r="L152" s="38">
        <v>0</v>
      </c>
      <c r="M152" s="38">
        <f t="shared" si="48"/>
        <v>0</v>
      </c>
      <c r="N152" s="38">
        <v>0</v>
      </c>
      <c r="O152" s="38">
        <v>0</v>
      </c>
      <c r="P152" s="38">
        <f t="shared" si="49"/>
        <v>0</v>
      </c>
      <c r="Q152" s="38">
        <v>0</v>
      </c>
      <c r="R152" s="38">
        <v>0</v>
      </c>
      <c r="S152" s="38">
        <f t="shared" si="50"/>
        <v>0</v>
      </c>
      <c r="T152" s="38">
        <v>0</v>
      </c>
      <c r="U152" s="38">
        <v>9848</v>
      </c>
      <c r="V152" s="38">
        <f t="shared" si="51"/>
        <v>9848</v>
      </c>
      <c r="W152" s="38">
        <v>0</v>
      </c>
      <c r="X152" s="38">
        <v>0</v>
      </c>
      <c r="Y152" s="38">
        <f t="shared" si="52"/>
        <v>0</v>
      </c>
      <c r="Z152" s="38">
        <v>0</v>
      </c>
      <c r="AA152" s="38">
        <v>0</v>
      </c>
      <c r="AB152" s="38">
        <f t="shared" si="53"/>
        <v>0</v>
      </c>
      <c r="AC152" s="38">
        <v>0</v>
      </c>
      <c r="AD152" s="38">
        <v>0</v>
      </c>
      <c r="AE152" s="38">
        <f t="shared" si="54"/>
        <v>0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</row>
    <row r="153" spans="1:255" ht="31.5" x14ac:dyDescent="0.25">
      <c r="A153" s="44" t="s">
        <v>150</v>
      </c>
      <c r="B153" s="40">
        <v>1</v>
      </c>
      <c r="C153" s="40">
        <v>311</v>
      </c>
      <c r="D153" s="40">
        <v>5203</v>
      </c>
      <c r="E153" s="38">
        <f t="shared" si="46"/>
        <v>0</v>
      </c>
      <c r="F153" s="38">
        <f t="shared" si="46"/>
        <v>7500</v>
      </c>
      <c r="G153" s="38">
        <f t="shared" si="46"/>
        <v>7500</v>
      </c>
      <c r="H153" s="38">
        <v>0</v>
      </c>
      <c r="I153" s="38">
        <v>0</v>
      </c>
      <c r="J153" s="38">
        <f t="shared" si="47"/>
        <v>0</v>
      </c>
      <c r="K153" s="38">
        <v>0</v>
      </c>
      <c r="L153" s="38">
        <v>0</v>
      </c>
      <c r="M153" s="38">
        <f t="shared" si="48"/>
        <v>0</v>
      </c>
      <c r="N153" s="38">
        <v>0</v>
      </c>
      <c r="O153" s="38">
        <v>0</v>
      </c>
      <c r="P153" s="38">
        <f t="shared" si="49"/>
        <v>0</v>
      </c>
      <c r="Q153" s="38">
        <v>0</v>
      </c>
      <c r="R153" s="38">
        <v>0</v>
      </c>
      <c r="S153" s="38">
        <f t="shared" si="50"/>
        <v>0</v>
      </c>
      <c r="T153" s="38">
        <v>0</v>
      </c>
      <c r="U153" s="38">
        <v>0</v>
      </c>
      <c r="V153" s="38">
        <f t="shared" si="51"/>
        <v>0</v>
      </c>
      <c r="W153" s="38">
        <v>0</v>
      </c>
      <c r="X153" s="38">
        <v>0</v>
      </c>
      <c r="Y153" s="38">
        <f t="shared" si="52"/>
        <v>0</v>
      </c>
      <c r="Z153" s="38">
        <v>0</v>
      </c>
      <c r="AA153" s="38">
        <v>7500</v>
      </c>
      <c r="AB153" s="38">
        <f t="shared" si="53"/>
        <v>7500</v>
      </c>
      <c r="AC153" s="38">
        <v>0</v>
      </c>
      <c r="AD153" s="38">
        <v>0</v>
      </c>
      <c r="AE153" s="38">
        <f t="shared" si="54"/>
        <v>0</v>
      </c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</row>
    <row r="154" spans="1:255" ht="31.5" x14ac:dyDescent="0.25">
      <c r="A154" s="44" t="s">
        <v>151</v>
      </c>
      <c r="B154" s="40">
        <v>1</v>
      </c>
      <c r="C154" s="40">
        <v>322</v>
      </c>
      <c r="D154" s="40">
        <v>5203</v>
      </c>
      <c r="E154" s="38">
        <f t="shared" si="46"/>
        <v>0</v>
      </c>
      <c r="F154" s="38">
        <f t="shared" si="46"/>
        <v>1320</v>
      </c>
      <c r="G154" s="38">
        <f t="shared" si="46"/>
        <v>1320</v>
      </c>
      <c r="H154" s="38">
        <v>0</v>
      </c>
      <c r="I154" s="38">
        <v>0</v>
      </c>
      <c r="J154" s="38">
        <f t="shared" si="47"/>
        <v>0</v>
      </c>
      <c r="K154" s="38">
        <v>0</v>
      </c>
      <c r="L154" s="38">
        <v>0</v>
      </c>
      <c r="M154" s="38">
        <f t="shared" si="48"/>
        <v>0</v>
      </c>
      <c r="N154" s="38">
        <v>0</v>
      </c>
      <c r="O154" s="38">
        <v>1320</v>
      </c>
      <c r="P154" s="38">
        <f t="shared" si="49"/>
        <v>1320</v>
      </c>
      <c r="Q154" s="38">
        <v>0</v>
      </c>
      <c r="R154" s="38">
        <v>0</v>
      </c>
      <c r="S154" s="38">
        <f t="shared" si="50"/>
        <v>0</v>
      </c>
      <c r="T154" s="38">
        <v>0</v>
      </c>
      <c r="U154" s="38"/>
      <c r="V154" s="38">
        <f t="shared" si="51"/>
        <v>0</v>
      </c>
      <c r="W154" s="38">
        <v>0</v>
      </c>
      <c r="X154" s="38">
        <v>0</v>
      </c>
      <c r="Y154" s="38">
        <f t="shared" si="52"/>
        <v>0</v>
      </c>
      <c r="Z154" s="38">
        <v>0</v>
      </c>
      <c r="AA154" s="38">
        <v>0</v>
      </c>
      <c r="AB154" s="38">
        <f t="shared" si="53"/>
        <v>0</v>
      </c>
      <c r="AC154" s="38">
        <v>0</v>
      </c>
      <c r="AD154" s="38">
        <v>0</v>
      </c>
      <c r="AE154" s="38">
        <f t="shared" si="54"/>
        <v>0</v>
      </c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</row>
    <row r="155" spans="1:255" x14ac:dyDescent="0.25">
      <c r="A155" s="35" t="s">
        <v>152</v>
      </c>
      <c r="B155" s="36">
        <v>1</v>
      </c>
      <c r="C155" s="36">
        <v>311</v>
      </c>
      <c r="D155" s="36">
        <v>5203</v>
      </c>
      <c r="E155" s="38">
        <f t="shared" si="46"/>
        <v>2690</v>
      </c>
      <c r="F155" s="38">
        <f t="shared" si="46"/>
        <v>2690</v>
      </c>
      <c r="G155" s="38">
        <f t="shared" si="46"/>
        <v>0</v>
      </c>
      <c r="H155" s="38">
        <v>0</v>
      </c>
      <c r="I155" s="38">
        <v>0</v>
      </c>
      <c r="J155" s="38">
        <f t="shared" si="47"/>
        <v>0</v>
      </c>
      <c r="K155" s="38">
        <v>0</v>
      </c>
      <c r="L155" s="38">
        <v>0</v>
      </c>
      <c r="M155" s="38">
        <f t="shared" si="48"/>
        <v>0</v>
      </c>
      <c r="N155" s="38">
        <v>2690</v>
      </c>
      <c r="O155" s="38">
        <v>2690</v>
      </c>
      <c r="P155" s="38">
        <f t="shared" si="49"/>
        <v>0</v>
      </c>
      <c r="Q155" s="38">
        <v>0</v>
      </c>
      <c r="R155" s="38">
        <v>0</v>
      </c>
      <c r="S155" s="38">
        <f t="shared" si="50"/>
        <v>0</v>
      </c>
      <c r="T155" s="38">
        <f t="shared" ref="T155:U157" si="62">14400-14400</f>
        <v>0</v>
      </c>
      <c r="U155" s="38">
        <f t="shared" si="62"/>
        <v>0</v>
      </c>
      <c r="V155" s="38">
        <f t="shared" si="51"/>
        <v>0</v>
      </c>
      <c r="W155" s="38">
        <v>0</v>
      </c>
      <c r="X155" s="38">
        <v>0</v>
      </c>
      <c r="Y155" s="38">
        <f t="shared" si="52"/>
        <v>0</v>
      </c>
      <c r="Z155" s="38">
        <v>0</v>
      </c>
      <c r="AA155" s="38">
        <v>0</v>
      </c>
      <c r="AB155" s="38">
        <f t="shared" si="53"/>
        <v>0</v>
      </c>
      <c r="AC155" s="38">
        <v>0</v>
      </c>
      <c r="AD155" s="38">
        <v>0</v>
      </c>
      <c r="AE155" s="38">
        <f t="shared" si="54"/>
        <v>0</v>
      </c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</row>
    <row r="156" spans="1:255" ht="31.5" x14ac:dyDescent="0.25">
      <c r="A156" s="35" t="s">
        <v>153</v>
      </c>
      <c r="B156" s="36">
        <v>1</v>
      </c>
      <c r="C156" s="36">
        <v>322</v>
      </c>
      <c r="D156" s="36">
        <v>5203</v>
      </c>
      <c r="E156" s="38">
        <f t="shared" si="46"/>
        <v>2179</v>
      </c>
      <c r="F156" s="38">
        <f t="shared" si="46"/>
        <v>2179</v>
      </c>
      <c r="G156" s="38">
        <f t="shared" si="46"/>
        <v>0</v>
      </c>
      <c r="H156" s="38">
        <v>0</v>
      </c>
      <c r="I156" s="38">
        <v>0</v>
      </c>
      <c r="J156" s="38">
        <f t="shared" si="47"/>
        <v>0</v>
      </c>
      <c r="K156" s="38">
        <v>0</v>
      </c>
      <c r="L156" s="38">
        <v>0</v>
      </c>
      <c r="M156" s="38">
        <f t="shared" si="48"/>
        <v>0</v>
      </c>
      <c r="N156" s="38">
        <v>2179</v>
      </c>
      <c r="O156" s="38">
        <v>2179</v>
      </c>
      <c r="P156" s="38">
        <f t="shared" si="49"/>
        <v>0</v>
      </c>
      <c r="Q156" s="38">
        <v>0</v>
      </c>
      <c r="R156" s="38">
        <v>0</v>
      </c>
      <c r="S156" s="38">
        <f t="shared" si="50"/>
        <v>0</v>
      </c>
      <c r="T156" s="38">
        <f t="shared" si="62"/>
        <v>0</v>
      </c>
      <c r="U156" s="38">
        <f t="shared" si="62"/>
        <v>0</v>
      </c>
      <c r="V156" s="38">
        <f t="shared" si="51"/>
        <v>0</v>
      </c>
      <c r="W156" s="38">
        <v>0</v>
      </c>
      <c r="X156" s="38">
        <v>0</v>
      </c>
      <c r="Y156" s="38">
        <f t="shared" si="52"/>
        <v>0</v>
      </c>
      <c r="Z156" s="38">
        <v>0</v>
      </c>
      <c r="AA156" s="38">
        <v>0</v>
      </c>
      <c r="AB156" s="38">
        <f t="shared" si="53"/>
        <v>0</v>
      </c>
      <c r="AC156" s="38">
        <v>0</v>
      </c>
      <c r="AD156" s="38">
        <v>0</v>
      </c>
      <c r="AE156" s="38">
        <f t="shared" si="54"/>
        <v>0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</row>
    <row r="157" spans="1:255" ht="31.5" x14ac:dyDescent="0.25">
      <c r="A157" s="35" t="s">
        <v>154</v>
      </c>
      <c r="B157" s="36">
        <v>1</v>
      </c>
      <c r="C157" s="36">
        <v>322</v>
      </c>
      <c r="D157" s="36">
        <v>5203</v>
      </c>
      <c r="E157" s="38">
        <f t="shared" si="46"/>
        <v>4060</v>
      </c>
      <c r="F157" s="38">
        <f t="shared" si="46"/>
        <v>4060</v>
      </c>
      <c r="G157" s="38">
        <f t="shared" si="46"/>
        <v>0</v>
      </c>
      <c r="H157" s="38">
        <v>0</v>
      </c>
      <c r="I157" s="38">
        <v>0</v>
      </c>
      <c r="J157" s="38">
        <f t="shared" si="47"/>
        <v>0</v>
      </c>
      <c r="K157" s="38">
        <v>0</v>
      </c>
      <c r="L157" s="38">
        <v>0</v>
      </c>
      <c r="M157" s="38">
        <f t="shared" si="48"/>
        <v>0</v>
      </c>
      <c r="N157" s="38"/>
      <c r="O157" s="38"/>
      <c r="P157" s="38">
        <f t="shared" si="49"/>
        <v>0</v>
      </c>
      <c r="Q157" s="38">
        <v>0</v>
      </c>
      <c r="R157" s="38">
        <v>0</v>
      </c>
      <c r="S157" s="38">
        <f t="shared" si="50"/>
        <v>0</v>
      </c>
      <c r="T157" s="38">
        <f t="shared" si="62"/>
        <v>0</v>
      </c>
      <c r="U157" s="38">
        <f t="shared" si="62"/>
        <v>0</v>
      </c>
      <c r="V157" s="38">
        <f t="shared" si="51"/>
        <v>0</v>
      </c>
      <c r="W157" s="38">
        <v>0</v>
      </c>
      <c r="X157" s="38">
        <v>0</v>
      </c>
      <c r="Y157" s="38">
        <f t="shared" si="52"/>
        <v>0</v>
      </c>
      <c r="Z157" s="38">
        <v>4060</v>
      </c>
      <c r="AA157" s="38">
        <v>4060</v>
      </c>
      <c r="AB157" s="38">
        <f t="shared" si="53"/>
        <v>0</v>
      </c>
      <c r="AC157" s="38">
        <v>0</v>
      </c>
      <c r="AD157" s="38">
        <v>0</v>
      </c>
      <c r="AE157" s="38">
        <f t="shared" si="54"/>
        <v>0</v>
      </c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</row>
    <row r="158" spans="1:255" x14ac:dyDescent="0.25">
      <c r="A158" s="42" t="s">
        <v>155</v>
      </c>
      <c r="B158" s="40">
        <v>1</v>
      </c>
      <c r="C158" s="40">
        <v>322</v>
      </c>
      <c r="D158" s="40">
        <v>5203</v>
      </c>
      <c r="E158" s="38">
        <f t="shared" si="46"/>
        <v>0</v>
      </c>
      <c r="F158" s="38">
        <f t="shared" si="46"/>
        <v>1900</v>
      </c>
      <c r="G158" s="38">
        <f t="shared" si="46"/>
        <v>1900</v>
      </c>
      <c r="H158" s="38">
        <v>0</v>
      </c>
      <c r="I158" s="38">
        <v>0</v>
      </c>
      <c r="J158" s="38">
        <f t="shared" si="47"/>
        <v>0</v>
      </c>
      <c r="K158" s="38">
        <v>0</v>
      </c>
      <c r="L158" s="38">
        <v>0</v>
      </c>
      <c r="M158" s="38">
        <f t="shared" si="48"/>
        <v>0</v>
      </c>
      <c r="N158" s="38">
        <v>0</v>
      </c>
      <c r="O158" s="38">
        <v>1900</v>
      </c>
      <c r="P158" s="38">
        <f t="shared" si="49"/>
        <v>1900</v>
      </c>
      <c r="Q158" s="38">
        <v>0</v>
      </c>
      <c r="R158" s="38">
        <v>0</v>
      </c>
      <c r="S158" s="38">
        <f t="shared" si="50"/>
        <v>0</v>
      </c>
      <c r="T158" s="38">
        <v>0</v>
      </c>
      <c r="U158" s="38">
        <v>0</v>
      </c>
      <c r="V158" s="38">
        <f t="shared" si="51"/>
        <v>0</v>
      </c>
      <c r="W158" s="38">
        <v>0</v>
      </c>
      <c r="X158" s="38">
        <v>0</v>
      </c>
      <c r="Y158" s="38">
        <f t="shared" si="52"/>
        <v>0</v>
      </c>
      <c r="Z158" s="38">
        <v>0</v>
      </c>
      <c r="AA158" s="38">
        <v>0</v>
      </c>
      <c r="AB158" s="38">
        <f t="shared" si="53"/>
        <v>0</v>
      </c>
      <c r="AC158" s="38">
        <v>0</v>
      </c>
      <c r="AD158" s="38">
        <v>0</v>
      </c>
      <c r="AE158" s="38">
        <f t="shared" si="54"/>
        <v>0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</row>
    <row r="159" spans="1:255" ht="31.5" x14ac:dyDescent="0.25">
      <c r="A159" s="42" t="s">
        <v>156</v>
      </c>
      <c r="B159" s="40">
        <v>1</v>
      </c>
      <c r="C159" s="40">
        <v>322</v>
      </c>
      <c r="D159" s="40">
        <v>5203</v>
      </c>
      <c r="E159" s="38">
        <f t="shared" si="46"/>
        <v>0</v>
      </c>
      <c r="F159" s="38">
        <f t="shared" si="46"/>
        <v>1755</v>
      </c>
      <c r="G159" s="38">
        <f t="shared" si="46"/>
        <v>1755</v>
      </c>
      <c r="H159" s="38">
        <v>0</v>
      </c>
      <c r="I159" s="38">
        <v>0</v>
      </c>
      <c r="J159" s="38">
        <f t="shared" si="47"/>
        <v>0</v>
      </c>
      <c r="K159" s="38">
        <v>0</v>
      </c>
      <c r="L159" s="38">
        <v>0</v>
      </c>
      <c r="M159" s="38">
        <f t="shared" si="48"/>
        <v>0</v>
      </c>
      <c r="N159" s="38">
        <v>0</v>
      </c>
      <c r="O159" s="38">
        <v>1755</v>
      </c>
      <c r="P159" s="38">
        <f t="shared" si="49"/>
        <v>1755</v>
      </c>
      <c r="Q159" s="38">
        <v>0</v>
      </c>
      <c r="R159" s="38">
        <v>0</v>
      </c>
      <c r="S159" s="38">
        <f t="shared" si="50"/>
        <v>0</v>
      </c>
      <c r="T159" s="38">
        <v>0</v>
      </c>
      <c r="U159" s="38">
        <v>0</v>
      </c>
      <c r="V159" s="38">
        <f t="shared" si="51"/>
        <v>0</v>
      </c>
      <c r="W159" s="38">
        <v>0</v>
      </c>
      <c r="X159" s="38">
        <v>0</v>
      </c>
      <c r="Y159" s="38">
        <f t="shared" si="52"/>
        <v>0</v>
      </c>
      <c r="Z159" s="38">
        <v>0</v>
      </c>
      <c r="AA159" s="38">
        <v>0</v>
      </c>
      <c r="AB159" s="38">
        <f t="shared" si="53"/>
        <v>0</v>
      </c>
      <c r="AC159" s="38">
        <v>0</v>
      </c>
      <c r="AD159" s="38">
        <v>0</v>
      </c>
      <c r="AE159" s="38">
        <f t="shared" si="54"/>
        <v>0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</row>
    <row r="160" spans="1:255" ht="47.25" x14ac:dyDescent="0.25">
      <c r="A160" s="42" t="s">
        <v>157</v>
      </c>
      <c r="B160" s="40">
        <v>1</v>
      </c>
      <c r="C160" s="40">
        <v>326</v>
      </c>
      <c r="D160" s="40">
        <v>5203</v>
      </c>
      <c r="E160" s="38">
        <f t="shared" si="46"/>
        <v>0</v>
      </c>
      <c r="F160" s="38">
        <f t="shared" si="46"/>
        <v>16500</v>
      </c>
      <c r="G160" s="38">
        <f t="shared" si="46"/>
        <v>16500</v>
      </c>
      <c r="H160" s="38">
        <v>0</v>
      </c>
      <c r="I160" s="38">
        <v>0</v>
      </c>
      <c r="J160" s="38">
        <f t="shared" si="47"/>
        <v>0</v>
      </c>
      <c r="K160" s="38">
        <v>0</v>
      </c>
      <c r="L160" s="38">
        <v>0</v>
      </c>
      <c r="M160" s="38">
        <f t="shared" si="48"/>
        <v>0</v>
      </c>
      <c r="N160" s="38">
        <v>0</v>
      </c>
      <c r="O160" s="38">
        <v>16500</v>
      </c>
      <c r="P160" s="38">
        <f t="shared" si="49"/>
        <v>16500</v>
      </c>
      <c r="Q160" s="38">
        <v>0</v>
      </c>
      <c r="R160" s="38">
        <v>0</v>
      </c>
      <c r="S160" s="38">
        <f t="shared" si="50"/>
        <v>0</v>
      </c>
      <c r="T160" s="38">
        <v>0</v>
      </c>
      <c r="U160" s="38">
        <v>0</v>
      </c>
      <c r="V160" s="38">
        <f t="shared" si="51"/>
        <v>0</v>
      </c>
      <c r="W160" s="38">
        <v>0</v>
      </c>
      <c r="X160" s="38">
        <v>0</v>
      </c>
      <c r="Y160" s="38">
        <f t="shared" si="52"/>
        <v>0</v>
      </c>
      <c r="Z160" s="38">
        <v>0</v>
      </c>
      <c r="AA160" s="38">
        <v>0</v>
      </c>
      <c r="AB160" s="38">
        <f t="shared" si="53"/>
        <v>0</v>
      </c>
      <c r="AC160" s="38">
        <v>0</v>
      </c>
      <c r="AD160" s="38">
        <v>0</v>
      </c>
      <c r="AE160" s="38">
        <f t="shared" si="54"/>
        <v>0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</row>
    <row r="161" spans="1:255" ht="31.5" x14ac:dyDescent="0.25">
      <c r="A161" s="35" t="s">
        <v>158</v>
      </c>
      <c r="B161" s="36">
        <v>1</v>
      </c>
      <c r="C161" s="36">
        <v>322</v>
      </c>
      <c r="D161" s="36">
        <v>5203</v>
      </c>
      <c r="E161" s="38">
        <f t="shared" si="46"/>
        <v>10550</v>
      </c>
      <c r="F161" s="38">
        <f t="shared" si="46"/>
        <v>10550</v>
      </c>
      <c r="G161" s="38">
        <f t="shared" si="46"/>
        <v>0</v>
      </c>
      <c r="H161" s="38">
        <v>0</v>
      </c>
      <c r="I161" s="38">
        <v>0</v>
      </c>
      <c r="J161" s="38">
        <f t="shared" si="47"/>
        <v>0</v>
      </c>
      <c r="K161" s="38">
        <v>0</v>
      </c>
      <c r="L161" s="38">
        <v>0</v>
      </c>
      <c r="M161" s="38">
        <f t="shared" si="48"/>
        <v>0</v>
      </c>
      <c r="N161" s="38"/>
      <c r="O161" s="38"/>
      <c r="P161" s="38">
        <f t="shared" si="49"/>
        <v>0</v>
      </c>
      <c r="Q161" s="38">
        <v>0</v>
      </c>
      <c r="R161" s="38">
        <v>0</v>
      </c>
      <c r="S161" s="38">
        <f t="shared" si="50"/>
        <v>0</v>
      </c>
      <c r="T161" s="38">
        <v>10550</v>
      </c>
      <c r="U161" s="38">
        <v>10550</v>
      </c>
      <c r="V161" s="38">
        <f t="shared" si="51"/>
        <v>0</v>
      </c>
      <c r="W161" s="38">
        <v>0</v>
      </c>
      <c r="X161" s="38">
        <v>0</v>
      </c>
      <c r="Y161" s="38">
        <f t="shared" si="52"/>
        <v>0</v>
      </c>
      <c r="Z161" s="38"/>
      <c r="AA161" s="38"/>
      <c r="AB161" s="38">
        <f t="shared" si="53"/>
        <v>0</v>
      </c>
      <c r="AC161" s="38">
        <v>0</v>
      </c>
      <c r="AD161" s="38">
        <v>0</v>
      </c>
      <c r="AE161" s="38">
        <f t="shared" si="54"/>
        <v>0</v>
      </c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</row>
    <row r="162" spans="1:255" ht="31.5" x14ac:dyDescent="0.25">
      <c r="A162" s="44" t="s">
        <v>159</v>
      </c>
      <c r="B162" s="40">
        <v>3</v>
      </c>
      <c r="C162" s="40">
        <v>322</v>
      </c>
      <c r="D162" s="40">
        <v>5203</v>
      </c>
      <c r="E162" s="38">
        <f t="shared" si="46"/>
        <v>0</v>
      </c>
      <c r="F162" s="38">
        <f t="shared" si="46"/>
        <v>152676</v>
      </c>
      <c r="G162" s="38">
        <f t="shared" si="46"/>
        <v>152676</v>
      </c>
      <c r="H162" s="38">
        <v>0</v>
      </c>
      <c r="I162" s="38">
        <v>0</v>
      </c>
      <c r="J162" s="38">
        <f t="shared" si="47"/>
        <v>0</v>
      </c>
      <c r="K162" s="38">
        <v>0</v>
      </c>
      <c r="L162" s="38">
        <v>0</v>
      </c>
      <c r="M162" s="38">
        <f t="shared" si="48"/>
        <v>0</v>
      </c>
      <c r="N162" s="38">
        <v>0</v>
      </c>
      <c r="O162" s="38">
        <v>0</v>
      </c>
      <c r="P162" s="38">
        <f t="shared" si="49"/>
        <v>0</v>
      </c>
      <c r="Q162" s="38">
        <v>0</v>
      </c>
      <c r="R162" s="38">
        <v>0</v>
      </c>
      <c r="S162" s="38">
        <f t="shared" si="50"/>
        <v>0</v>
      </c>
      <c r="T162" s="38">
        <v>0</v>
      </c>
      <c r="U162" s="38">
        <v>0</v>
      </c>
      <c r="V162" s="38">
        <f t="shared" si="51"/>
        <v>0</v>
      </c>
      <c r="W162" s="38">
        <v>0</v>
      </c>
      <c r="X162" s="38">
        <f>140766</f>
        <v>140766</v>
      </c>
      <c r="Y162" s="38">
        <f t="shared" si="52"/>
        <v>140766</v>
      </c>
      <c r="Z162" s="38">
        <f>11910-11910</f>
        <v>0</v>
      </c>
      <c r="AA162" s="38">
        <f>11910-11910+11910</f>
        <v>11910</v>
      </c>
      <c r="AB162" s="38">
        <f t="shared" si="53"/>
        <v>11910</v>
      </c>
      <c r="AC162" s="38">
        <v>0</v>
      </c>
      <c r="AD162" s="38">
        <v>0</v>
      </c>
      <c r="AE162" s="38">
        <f t="shared" si="54"/>
        <v>0</v>
      </c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</row>
    <row r="163" spans="1:255" ht="31.5" x14ac:dyDescent="0.25">
      <c r="A163" s="35" t="s">
        <v>160</v>
      </c>
      <c r="B163" s="36">
        <v>1</v>
      </c>
      <c r="C163" s="36">
        <v>311</v>
      </c>
      <c r="D163" s="36">
        <v>5203</v>
      </c>
      <c r="E163" s="38">
        <f t="shared" si="46"/>
        <v>13841</v>
      </c>
      <c r="F163" s="38">
        <f t="shared" si="46"/>
        <v>13841</v>
      </c>
      <c r="G163" s="38">
        <f t="shared" si="46"/>
        <v>0</v>
      </c>
      <c r="H163" s="38">
        <v>0</v>
      </c>
      <c r="I163" s="38">
        <v>0</v>
      </c>
      <c r="J163" s="38">
        <f t="shared" si="47"/>
        <v>0</v>
      </c>
      <c r="K163" s="38">
        <v>0</v>
      </c>
      <c r="L163" s="38">
        <v>0</v>
      </c>
      <c r="M163" s="38">
        <f t="shared" si="48"/>
        <v>0</v>
      </c>
      <c r="N163" s="38">
        <v>0</v>
      </c>
      <c r="O163" s="38">
        <v>0</v>
      </c>
      <c r="P163" s="38">
        <f t="shared" si="49"/>
        <v>0</v>
      </c>
      <c r="Q163" s="38">
        <v>0</v>
      </c>
      <c r="R163" s="38">
        <v>0</v>
      </c>
      <c r="S163" s="38">
        <f t="shared" si="50"/>
        <v>0</v>
      </c>
      <c r="T163" s="38">
        <v>13841</v>
      </c>
      <c r="U163" s="38">
        <v>13841</v>
      </c>
      <c r="V163" s="38">
        <f t="shared" si="51"/>
        <v>0</v>
      </c>
      <c r="W163" s="38">
        <v>0</v>
      </c>
      <c r="X163" s="38">
        <v>0</v>
      </c>
      <c r="Y163" s="38">
        <f t="shared" si="52"/>
        <v>0</v>
      </c>
      <c r="Z163" s="38">
        <v>0</v>
      </c>
      <c r="AA163" s="38">
        <v>0</v>
      </c>
      <c r="AB163" s="38">
        <f t="shared" si="53"/>
        <v>0</v>
      </c>
      <c r="AC163" s="38">
        <v>0</v>
      </c>
      <c r="AD163" s="38">
        <v>0</v>
      </c>
      <c r="AE163" s="38">
        <f t="shared" si="54"/>
        <v>0</v>
      </c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</row>
    <row r="164" spans="1:255" ht="31.5" x14ac:dyDescent="0.25">
      <c r="A164" s="35" t="s">
        <v>161</v>
      </c>
      <c r="B164" s="36">
        <v>1</v>
      </c>
      <c r="C164" s="36">
        <v>322</v>
      </c>
      <c r="D164" s="36">
        <v>5203</v>
      </c>
      <c r="E164" s="38">
        <f t="shared" si="46"/>
        <v>3707</v>
      </c>
      <c r="F164" s="38">
        <f t="shared" si="46"/>
        <v>3707</v>
      </c>
      <c r="G164" s="38">
        <f t="shared" si="46"/>
        <v>0</v>
      </c>
      <c r="H164" s="38">
        <v>0</v>
      </c>
      <c r="I164" s="38">
        <v>0</v>
      </c>
      <c r="J164" s="38">
        <f t="shared" si="47"/>
        <v>0</v>
      </c>
      <c r="K164" s="38">
        <v>0</v>
      </c>
      <c r="L164" s="38">
        <v>0</v>
      </c>
      <c r="M164" s="38">
        <f t="shared" si="48"/>
        <v>0</v>
      </c>
      <c r="N164" s="38">
        <v>0</v>
      </c>
      <c r="O164" s="38">
        <v>0</v>
      </c>
      <c r="P164" s="38">
        <f t="shared" si="49"/>
        <v>0</v>
      </c>
      <c r="Q164" s="38">
        <v>0</v>
      </c>
      <c r="R164" s="38">
        <v>0</v>
      </c>
      <c r="S164" s="38">
        <f t="shared" si="50"/>
        <v>0</v>
      </c>
      <c r="T164" s="38">
        <v>3707</v>
      </c>
      <c r="U164" s="38">
        <v>3707</v>
      </c>
      <c r="V164" s="38">
        <f t="shared" si="51"/>
        <v>0</v>
      </c>
      <c r="W164" s="38">
        <v>0</v>
      </c>
      <c r="X164" s="38">
        <v>0</v>
      </c>
      <c r="Y164" s="38">
        <f t="shared" si="52"/>
        <v>0</v>
      </c>
      <c r="Z164" s="38">
        <v>0</v>
      </c>
      <c r="AA164" s="38">
        <v>0</v>
      </c>
      <c r="AB164" s="38">
        <f t="shared" si="53"/>
        <v>0</v>
      </c>
      <c r="AC164" s="38">
        <v>0</v>
      </c>
      <c r="AD164" s="38">
        <v>0</v>
      </c>
      <c r="AE164" s="38">
        <f t="shared" si="54"/>
        <v>0</v>
      </c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</row>
    <row r="165" spans="1:255" ht="31.5" x14ac:dyDescent="0.25">
      <c r="A165" s="35" t="s">
        <v>162</v>
      </c>
      <c r="B165" s="36">
        <v>1</v>
      </c>
      <c r="C165" s="36">
        <v>322</v>
      </c>
      <c r="D165" s="36">
        <v>5203</v>
      </c>
      <c r="E165" s="38">
        <f t="shared" si="46"/>
        <v>2150</v>
      </c>
      <c r="F165" s="38">
        <f t="shared" si="46"/>
        <v>2150</v>
      </c>
      <c r="G165" s="38">
        <f t="shared" si="46"/>
        <v>0</v>
      </c>
      <c r="H165" s="38">
        <v>0</v>
      </c>
      <c r="I165" s="38">
        <v>0</v>
      </c>
      <c r="J165" s="38">
        <f t="shared" si="47"/>
        <v>0</v>
      </c>
      <c r="K165" s="38">
        <v>0</v>
      </c>
      <c r="L165" s="38">
        <v>0</v>
      </c>
      <c r="M165" s="38">
        <f t="shared" si="48"/>
        <v>0</v>
      </c>
      <c r="N165" s="38">
        <v>0</v>
      </c>
      <c r="O165" s="38">
        <v>0</v>
      </c>
      <c r="P165" s="38">
        <f t="shared" si="49"/>
        <v>0</v>
      </c>
      <c r="Q165" s="38">
        <v>0</v>
      </c>
      <c r="R165" s="38">
        <v>0</v>
      </c>
      <c r="S165" s="38">
        <f t="shared" si="50"/>
        <v>0</v>
      </c>
      <c r="T165" s="38">
        <v>2150</v>
      </c>
      <c r="U165" s="38">
        <v>2150</v>
      </c>
      <c r="V165" s="38">
        <f t="shared" si="51"/>
        <v>0</v>
      </c>
      <c r="W165" s="38">
        <v>0</v>
      </c>
      <c r="X165" s="38">
        <v>0</v>
      </c>
      <c r="Y165" s="38">
        <f t="shared" si="52"/>
        <v>0</v>
      </c>
      <c r="Z165" s="38">
        <v>0</v>
      </c>
      <c r="AA165" s="38">
        <v>0</v>
      </c>
      <c r="AB165" s="38">
        <f t="shared" si="53"/>
        <v>0</v>
      </c>
      <c r="AC165" s="38">
        <v>0</v>
      </c>
      <c r="AD165" s="38">
        <v>0</v>
      </c>
      <c r="AE165" s="38">
        <f t="shared" si="54"/>
        <v>0</v>
      </c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</row>
    <row r="166" spans="1:255" ht="31.5" x14ac:dyDescent="0.25">
      <c r="A166" s="35" t="s">
        <v>163</v>
      </c>
      <c r="B166" s="36">
        <v>1</v>
      </c>
      <c r="C166" s="36">
        <v>322</v>
      </c>
      <c r="D166" s="36">
        <v>5203</v>
      </c>
      <c r="E166" s="38">
        <f t="shared" si="46"/>
        <v>1302</v>
      </c>
      <c r="F166" s="38">
        <f t="shared" si="46"/>
        <v>1302</v>
      </c>
      <c r="G166" s="38">
        <f t="shared" si="46"/>
        <v>0</v>
      </c>
      <c r="H166" s="38">
        <v>0</v>
      </c>
      <c r="I166" s="38">
        <v>0</v>
      </c>
      <c r="J166" s="38">
        <f t="shared" si="47"/>
        <v>0</v>
      </c>
      <c r="K166" s="38">
        <v>0</v>
      </c>
      <c r="L166" s="38">
        <v>0</v>
      </c>
      <c r="M166" s="38">
        <f t="shared" si="48"/>
        <v>0</v>
      </c>
      <c r="N166" s="38">
        <v>0</v>
      </c>
      <c r="O166" s="38">
        <v>0</v>
      </c>
      <c r="P166" s="38">
        <f t="shared" si="49"/>
        <v>0</v>
      </c>
      <c r="Q166" s="38">
        <v>0</v>
      </c>
      <c r="R166" s="38">
        <v>0</v>
      </c>
      <c r="S166" s="38">
        <f t="shared" si="50"/>
        <v>0</v>
      </c>
      <c r="T166" s="38">
        <v>1302</v>
      </c>
      <c r="U166" s="38">
        <v>1302</v>
      </c>
      <c r="V166" s="38">
        <f t="shared" si="51"/>
        <v>0</v>
      </c>
      <c r="W166" s="38">
        <v>0</v>
      </c>
      <c r="X166" s="38">
        <v>0</v>
      </c>
      <c r="Y166" s="38">
        <f t="shared" si="52"/>
        <v>0</v>
      </c>
      <c r="Z166" s="38">
        <v>0</v>
      </c>
      <c r="AA166" s="38">
        <v>0</v>
      </c>
      <c r="AB166" s="38">
        <f t="shared" si="53"/>
        <v>0</v>
      </c>
      <c r="AC166" s="38">
        <v>0</v>
      </c>
      <c r="AD166" s="38">
        <v>0</v>
      </c>
      <c r="AE166" s="38">
        <f t="shared" si="54"/>
        <v>0</v>
      </c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</row>
    <row r="167" spans="1:255" ht="31.5" x14ac:dyDescent="0.25">
      <c r="A167" s="35" t="s">
        <v>164</v>
      </c>
      <c r="B167" s="36">
        <v>1</v>
      </c>
      <c r="C167" s="36">
        <v>322</v>
      </c>
      <c r="D167" s="36">
        <v>5203</v>
      </c>
      <c r="E167" s="38">
        <f t="shared" si="46"/>
        <v>7488</v>
      </c>
      <c r="F167" s="38">
        <f t="shared" si="46"/>
        <v>7488</v>
      </c>
      <c r="G167" s="38">
        <f t="shared" si="46"/>
        <v>0</v>
      </c>
      <c r="H167" s="38">
        <v>0</v>
      </c>
      <c r="I167" s="38">
        <v>0</v>
      </c>
      <c r="J167" s="38">
        <f t="shared" si="47"/>
        <v>0</v>
      </c>
      <c r="K167" s="38">
        <v>0</v>
      </c>
      <c r="L167" s="38">
        <v>0</v>
      </c>
      <c r="M167" s="38">
        <f t="shared" si="48"/>
        <v>0</v>
      </c>
      <c r="N167" s="38">
        <v>0</v>
      </c>
      <c r="O167" s="38">
        <v>0</v>
      </c>
      <c r="P167" s="38">
        <f t="shared" si="49"/>
        <v>0</v>
      </c>
      <c r="Q167" s="38">
        <v>0</v>
      </c>
      <c r="R167" s="38">
        <v>0</v>
      </c>
      <c r="S167" s="38">
        <f t="shared" si="50"/>
        <v>0</v>
      </c>
      <c r="T167" s="38">
        <v>7488</v>
      </c>
      <c r="U167" s="38">
        <v>7488</v>
      </c>
      <c r="V167" s="38">
        <f t="shared" si="51"/>
        <v>0</v>
      </c>
      <c r="W167" s="38">
        <v>0</v>
      </c>
      <c r="X167" s="38">
        <v>0</v>
      </c>
      <c r="Y167" s="38">
        <f t="shared" si="52"/>
        <v>0</v>
      </c>
      <c r="Z167" s="38">
        <v>0</v>
      </c>
      <c r="AA167" s="38">
        <v>0</v>
      </c>
      <c r="AB167" s="38">
        <f t="shared" si="53"/>
        <v>0</v>
      </c>
      <c r="AC167" s="38">
        <v>0</v>
      </c>
      <c r="AD167" s="38">
        <v>0</v>
      </c>
      <c r="AE167" s="38">
        <f t="shared" si="54"/>
        <v>0</v>
      </c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</row>
    <row r="168" spans="1:255" ht="31.5" x14ac:dyDescent="0.25">
      <c r="A168" s="35" t="s">
        <v>165</v>
      </c>
      <c r="B168" s="36">
        <v>1</v>
      </c>
      <c r="C168" s="36">
        <v>326</v>
      </c>
      <c r="D168" s="36">
        <v>5203</v>
      </c>
      <c r="E168" s="38">
        <f t="shared" si="46"/>
        <v>18896</v>
      </c>
      <c r="F168" s="38">
        <f t="shared" si="46"/>
        <v>18896</v>
      </c>
      <c r="G168" s="38">
        <f t="shared" si="46"/>
        <v>0</v>
      </c>
      <c r="H168" s="38">
        <v>0</v>
      </c>
      <c r="I168" s="38">
        <v>0</v>
      </c>
      <c r="J168" s="38">
        <f t="shared" si="47"/>
        <v>0</v>
      </c>
      <c r="K168" s="38">
        <v>0</v>
      </c>
      <c r="L168" s="38">
        <v>0</v>
      </c>
      <c r="M168" s="38">
        <f t="shared" si="48"/>
        <v>0</v>
      </c>
      <c r="N168" s="38">
        <v>18896</v>
      </c>
      <c r="O168" s="38">
        <v>18896</v>
      </c>
      <c r="P168" s="38">
        <f t="shared" si="49"/>
        <v>0</v>
      </c>
      <c r="Q168" s="38"/>
      <c r="R168" s="38"/>
      <c r="S168" s="38">
        <f t="shared" si="50"/>
        <v>0</v>
      </c>
      <c r="T168" s="38">
        <v>0</v>
      </c>
      <c r="U168" s="38">
        <v>0</v>
      </c>
      <c r="V168" s="38">
        <f t="shared" si="51"/>
        <v>0</v>
      </c>
      <c r="W168" s="38">
        <v>0</v>
      </c>
      <c r="X168" s="38">
        <v>0</v>
      </c>
      <c r="Y168" s="38">
        <f t="shared" si="52"/>
        <v>0</v>
      </c>
      <c r="Z168" s="38">
        <v>0</v>
      </c>
      <c r="AA168" s="38">
        <v>0</v>
      </c>
      <c r="AB168" s="38">
        <f t="shared" si="53"/>
        <v>0</v>
      </c>
      <c r="AC168" s="38">
        <v>0</v>
      </c>
      <c r="AD168" s="38">
        <v>0</v>
      </c>
      <c r="AE168" s="38">
        <f t="shared" si="54"/>
        <v>0</v>
      </c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</row>
    <row r="169" spans="1:255" ht="31.5" x14ac:dyDescent="0.25">
      <c r="A169" s="35" t="s">
        <v>166</v>
      </c>
      <c r="B169" s="36">
        <v>1</v>
      </c>
      <c r="C169" s="36">
        <v>322</v>
      </c>
      <c r="D169" s="36">
        <v>5203</v>
      </c>
      <c r="E169" s="38">
        <f t="shared" si="46"/>
        <v>14400</v>
      </c>
      <c r="F169" s="38">
        <f t="shared" si="46"/>
        <v>14400</v>
      </c>
      <c r="G169" s="38">
        <f t="shared" si="46"/>
        <v>0</v>
      </c>
      <c r="H169" s="38">
        <v>0</v>
      </c>
      <c r="I169" s="38">
        <v>0</v>
      </c>
      <c r="J169" s="38">
        <f t="shared" si="47"/>
        <v>0</v>
      </c>
      <c r="K169" s="38">
        <v>0</v>
      </c>
      <c r="L169" s="38">
        <v>0</v>
      </c>
      <c r="M169" s="38">
        <f t="shared" si="48"/>
        <v>0</v>
      </c>
      <c r="N169" s="38">
        <v>0</v>
      </c>
      <c r="O169" s="38">
        <v>0</v>
      </c>
      <c r="P169" s="38">
        <f t="shared" si="49"/>
        <v>0</v>
      </c>
      <c r="Q169" s="38">
        <v>0</v>
      </c>
      <c r="R169" s="38">
        <v>0</v>
      </c>
      <c r="S169" s="38">
        <f t="shared" si="50"/>
        <v>0</v>
      </c>
      <c r="T169" s="38">
        <v>14400</v>
      </c>
      <c r="U169" s="38">
        <v>14400</v>
      </c>
      <c r="V169" s="38">
        <f t="shared" si="51"/>
        <v>0</v>
      </c>
      <c r="W169" s="38">
        <v>0</v>
      </c>
      <c r="X169" s="38">
        <v>0</v>
      </c>
      <c r="Y169" s="38">
        <f t="shared" si="52"/>
        <v>0</v>
      </c>
      <c r="Z169" s="38">
        <v>0</v>
      </c>
      <c r="AA169" s="38">
        <v>0</v>
      </c>
      <c r="AB169" s="38">
        <f t="shared" si="53"/>
        <v>0</v>
      </c>
      <c r="AC169" s="38">
        <v>0</v>
      </c>
      <c r="AD169" s="38">
        <v>0</v>
      </c>
      <c r="AE169" s="38">
        <f t="shared" si="54"/>
        <v>0</v>
      </c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</row>
    <row r="170" spans="1:255" ht="19.5" customHeight="1" x14ac:dyDescent="0.25">
      <c r="A170" s="26" t="s">
        <v>128</v>
      </c>
      <c r="B170" s="34"/>
      <c r="C170" s="34"/>
      <c r="D170" s="34"/>
      <c r="E170" s="27">
        <f t="shared" si="46"/>
        <v>96555</v>
      </c>
      <c r="F170" s="27">
        <f t="shared" si="46"/>
        <v>98287</v>
      </c>
      <c r="G170" s="27">
        <f t="shared" si="46"/>
        <v>1732</v>
      </c>
      <c r="H170" s="27">
        <f>SUM(H171:H178)</f>
        <v>0</v>
      </c>
      <c r="I170" s="27">
        <f>SUM(I171:I178)</f>
        <v>0</v>
      </c>
      <c r="J170" s="27">
        <f t="shared" si="47"/>
        <v>0</v>
      </c>
      <c r="K170" s="27">
        <f>SUM(K171:K178)</f>
        <v>0</v>
      </c>
      <c r="L170" s="27">
        <f>SUM(L171:L178)</f>
        <v>0</v>
      </c>
      <c r="M170" s="27">
        <f t="shared" si="48"/>
        <v>0</v>
      </c>
      <c r="N170" s="27">
        <f>SUM(N171:N178)</f>
        <v>0</v>
      </c>
      <c r="O170" s="27">
        <f>SUM(O171:O178)</f>
        <v>1732</v>
      </c>
      <c r="P170" s="27">
        <f t="shared" si="49"/>
        <v>1732</v>
      </c>
      <c r="Q170" s="27">
        <f>SUM(Q171:Q178)</f>
        <v>0</v>
      </c>
      <c r="R170" s="27">
        <f>SUM(R171:R178)</f>
        <v>0</v>
      </c>
      <c r="S170" s="27">
        <f t="shared" si="50"/>
        <v>0</v>
      </c>
      <c r="T170" s="27">
        <f>SUM(T171:T178)</f>
        <v>96555</v>
      </c>
      <c r="U170" s="27">
        <f>SUM(U171:U178)</f>
        <v>96555</v>
      </c>
      <c r="V170" s="27">
        <f t="shared" si="51"/>
        <v>0</v>
      </c>
      <c r="W170" s="27">
        <f>SUM(W171:W178)</f>
        <v>0</v>
      </c>
      <c r="X170" s="27">
        <f>SUM(X171:X178)</f>
        <v>0</v>
      </c>
      <c r="Y170" s="27">
        <f t="shared" si="52"/>
        <v>0</v>
      </c>
      <c r="Z170" s="27">
        <f>SUM(Z171:Z178)</f>
        <v>0</v>
      </c>
      <c r="AA170" s="27">
        <f>SUM(AA171:AA178)</f>
        <v>0</v>
      </c>
      <c r="AB170" s="27">
        <f t="shared" si="53"/>
        <v>0</v>
      </c>
      <c r="AC170" s="27">
        <f>SUM(AC171:AC178)</f>
        <v>0</v>
      </c>
      <c r="AD170" s="27">
        <f>SUM(AD171:AD178)</f>
        <v>0</v>
      </c>
      <c r="AE170" s="27">
        <f t="shared" si="54"/>
        <v>0</v>
      </c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</row>
    <row r="171" spans="1:255" ht="31.5" x14ac:dyDescent="0.25">
      <c r="A171" s="35" t="s">
        <v>167</v>
      </c>
      <c r="B171" s="36">
        <v>1</v>
      </c>
      <c r="C171" s="36">
        <v>311</v>
      </c>
      <c r="D171" s="36">
        <v>5205</v>
      </c>
      <c r="E171" s="38">
        <f t="shared" si="46"/>
        <v>64440</v>
      </c>
      <c r="F171" s="38">
        <f t="shared" si="46"/>
        <v>64440</v>
      </c>
      <c r="G171" s="38">
        <f t="shared" si="46"/>
        <v>0</v>
      </c>
      <c r="H171" s="38">
        <v>0</v>
      </c>
      <c r="I171" s="38">
        <v>0</v>
      </c>
      <c r="J171" s="38">
        <f t="shared" si="47"/>
        <v>0</v>
      </c>
      <c r="K171" s="38">
        <v>0</v>
      </c>
      <c r="L171" s="38">
        <v>0</v>
      </c>
      <c r="M171" s="38">
        <f t="shared" si="48"/>
        <v>0</v>
      </c>
      <c r="N171" s="38">
        <v>0</v>
      </c>
      <c r="O171" s="38">
        <v>0</v>
      </c>
      <c r="P171" s="38">
        <f t="shared" si="49"/>
        <v>0</v>
      </c>
      <c r="Q171" s="38">
        <v>0</v>
      </c>
      <c r="R171" s="38">
        <v>0</v>
      </c>
      <c r="S171" s="38">
        <f t="shared" si="50"/>
        <v>0</v>
      </c>
      <c r="T171" s="38">
        <v>64440</v>
      </c>
      <c r="U171" s="38">
        <v>64440</v>
      </c>
      <c r="V171" s="38">
        <f t="shared" si="51"/>
        <v>0</v>
      </c>
      <c r="W171" s="38">
        <v>0</v>
      </c>
      <c r="X171" s="38">
        <v>0</v>
      </c>
      <c r="Y171" s="38">
        <f t="shared" si="52"/>
        <v>0</v>
      </c>
      <c r="Z171" s="38">
        <v>0</v>
      </c>
      <c r="AA171" s="38">
        <v>0</v>
      </c>
      <c r="AB171" s="38">
        <f t="shared" si="53"/>
        <v>0</v>
      </c>
      <c r="AC171" s="38">
        <v>0</v>
      </c>
      <c r="AD171" s="38">
        <v>0</v>
      </c>
      <c r="AE171" s="38">
        <f t="shared" si="54"/>
        <v>0</v>
      </c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</row>
    <row r="172" spans="1:255" ht="31.5" x14ac:dyDescent="0.25">
      <c r="A172" s="35" t="s">
        <v>148</v>
      </c>
      <c r="B172" s="36">
        <v>1</v>
      </c>
      <c r="C172" s="36">
        <v>311</v>
      </c>
      <c r="D172" s="36">
        <v>5205</v>
      </c>
      <c r="E172" s="38">
        <f t="shared" si="46"/>
        <v>14400</v>
      </c>
      <c r="F172" s="38">
        <f t="shared" si="46"/>
        <v>14400</v>
      </c>
      <c r="G172" s="38">
        <f t="shared" si="46"/>
        <v>0</v>
      </c>
      <c r="H172" s="38">
        <v>0</v>
      </c>
      <c r="I172" s="38">
        <v>0</v>
      </c>
      <c r="J172" s="38">
        <f t="shared" si="47"/>
        <v>0</v>
      </c>
      <c r="K172" s="38">
        <v>0</v>
      </c>
      <c r="L172" s="38">
        <v>0</v>
      </c>
      <c r="M172" s="38">
        <f t="shared" si="48"/>
        <v>0</v>
      </c>
      <c r="N172" s="38">
        <v>0</v>
      </c>
      <c r="O172" s="38">
        <v>0</v>
      </c>
      <c r="P172" s="38">
        <f t="shared" si="49"/>
        <v>0</v>
      </c>
      <c r="Q172" s="38">
        <v>0</v>
      </c>
      <c r="R172" s="38">
        <v>0</v>
      </c>
      <c r="S172" s="38">
        <f t="shared" si="50"/>
        <v>0</v>
      </c>
      <c r="T172" s="38">
        <v>14400</v>
      </c>
      <c r="U172" s="38">
        <v>14400</v>
      </c>
      <c r="V172" s="38">
        <f t="shared" si="51"/>
        <v>0</v>
      </c>
      <c r="W172" s="38">
        <v>0</v>
      </c>
      <c r="X172" s="38">
        <v>0</v>
      </c>
      <c r="Y172" s="38">
        <f t="shared" si="52"/>
        <v>0</v>
      </c>
      <c r="Z172" s="38">
        <v>0</v>
      </c>
      <c r="AA172" s="38">
        <v>0</v>
      </c>
      <c r="AB172" s="38">
        <f t="shared" si="53"/>
        <v>0</v>
      </c>
      <c r="AC172" s="38">
        <v>0</v>
      </c>
      <c r="AD172" s="38">
        <v>0</v>
      </c>
      <c r="AE172" s="38">
        <f t="shared" si="54"/>
        <v>0</v>
      </c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</row>
    <row r="173" spans="1:255" ht="31.5" x14ac:dyDescent="0.25">
      <c r="A173" s="42" t="s">
        <v>168</v>
      </c>
      <c r="B173" s="40">
        <v>1</v>
      </c>
      <c r="C173" s="40">
        <v>322</v>
      </c>
      <c r="D173" s="40">
        <v>5205</v>
      </c>
      <c r="E173" s="38">
        <f t="shared" si="46"/>
        <v>0</v>
      </c>
      <c r="F173" s="38">
        <f t="shared" si="46"/>
        <v>1732</v>
      </c>
      <c r="G173" s="38">
        <f t="shared" si="46"/>
        <v>1732</v>
      </c>
      <c r="H173" s="38">
        <v>0</v>
      </c>
      <c r="I173" s="38">
        <v>0</v>
      </c>
      <c r="J173" s="38">
        <f t="shared" si="47"/>
        <v>0</v>
      </c>
      <c r="K173" s="38">
        <v>0</v>
      </c>
      <c r="L173" s="38">
        <v>0</v>
      </c>
      <c r="M173" s="38">
        <f t="shared" si="48"/>
        <v>0</v>
      </c>
      <c r="N173" s="38">
        <v>0</v>
      </c>
      <c r="O173" s="38">
        <v>1732</v>
      </c>
      <c r="P173" s="38">
        <f t="shared" si="49"/>
        <v>1732</v>
      </c>
      <c r="Q173" s="38">
        <v>0</v>
      </c>
      <c r="R173" s="38">
        <v>0</v>
      </c>
      <c r="S173" s="38">
        <f t="shared" si="50"/>
        <v>0</v>
      </c>
      <c r="T173" s="38">
        <v>0</v>
      </c>
      <c r="U173" s="38">
        <v>0</v>
      </c>
      <c r="V173" s="38">
        <f t="shared" si="51"/>
        <v>0</v>
      </c>
      <c r="W173" s="38">
        <v>0</v>
      </c>
      <c r="X173" s="38">
        <v>0</v>
      </c>
      <c r="Y173" s="38">
        <f t="shared" si="52"/>
        <v>0</v>
      </c>
      <c r="Z173" s="38">
        <v>0</v>
      </c>
      <c r="AA173" s="38">
        <v>0</v>
      </c>
      <c r="AB173" s="38">
        <f t="shared" si="53"/>
        <v>0</v>
      </c>
      <c r="AC173" s="38">
        <v>0</v>
      </c>
      <c r="AD173" s="38">
        <v>0</v>
      </c>
      <c r="AE173" s="38">
        <f t="shared" si="54"/>
        <v>0</v>
      </c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</row>
    <row r="174" spans="1:255" ht="31.5" x14ac:dyDescent="0.25">
      <c r="A174" s="35" t="s">
        <v>169</v>
      </c>
      <c r="B174" s="36">
        <v>1</v>
      </c>
      <c r="C174" s="36">
        <v>311</v>
      </c>
      <c r="D174" s="36">
        <v>5205</v>
      </c>
      <c r="E174" s="38">
        <f t="shared" si="46"/>
        <v>4861</v>
      </c>
      <c r="F174" s="38">
        <f t="shared" si="46"/>
        <v>4861</v>
      </c>
      <c r="G174" s="38">
        <f t="shared" si="46"/>
        <v>0</v>
      </c>
      <c r="H174" s="38">
        <v>0</v>
      </c>
      <c r="I174" s="38">
        <v>0</v>
      </c>
      <c r="J174" s="38">
        <f t="shared" si="47"/>
        <v>0</v>
      </c>
      <c r="K174" s="38">
        <v>0</v>
      </c>
      <c r="L174" s="38">
        <v>0</v>
      </c>
      <c r="M174" s="38">
        <f t="shared" si="48"/>
        <v>0</v>
      </c>
      <c r="N174" s="38">
        <v>0</v>
      </c>
      <c r="O174" s="38">
        <v>0</v>
      </c>
      <c r="P174" s="38">
        <f t="shared" si="49"/>
        <v>0</v>
      </c>
      <c r="Q174" s="38">
        <v>0</v>
      </c>
      <c r="R174" s="38">
        <v>0</v>
      </c>
      <c r="S174" s="38">
        <f t="shared" si="50"/>
        <v>0</v>
      </c>
      <c r="T174" s="38">
        <v>4861</v>
      </c>
      <c r="U174" s="38">
        <v>4861</v>
      </c>
      <c r="V174" s="38">
        <f t="shared" si="51"/>
        <v>0</v>
      </c>
      <c r="W174" s="38">
        <v>0</v>
      </c>
      <c r="X174" s="38">
        <v>0</v>
      </c>
      <c r="Y174" s="38">
        <f t="shared" si="52"/>
        <v>0</v>
      </c>
      <c r="Z174" s="38">
        <v>0</v>
      </c>
      <c r="AA174" s="38">
        <v>0</v>
      </c>
      <c r="AB174" s="38">
        <f t="shared" si="53"/>
        <v>0</v>
      </c>
      <c r="AC174" s="38">
        <v>0</v>
      </c>
      <c r="AD174" s="38">
        <v>0</v>
      </c>
      <c r="AE174" s="38">
        <f t="shared" si="54"/>
        <v>0</v>
      </c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</row>
    <row r="175" spans="1:255" ht="31.5" x14ac:dyDescent="0.25">
      <c r="A175" s="35" t="s">
        <v>170</v>
      </c>
      <c r="B175" s="36">
        <v>1</v>
      </c>
      <c r="C175" s="36">
        <v>311</v>
      </c>
      <c r="D175" s="36">
        <v>5205</v>
      </c>
      <c r="E175" s="38">
        <f t="shared" si="46"/>
        <v>1690</v>
      </c>
      <c r="F175" s="38">
        <f t="shared" si="46"/>
        <v>1690</v>
      </c>
      <c r="G175" s="38">
        <f t="shared" si="46"/>
        <v>0</v>
      </c>
      <c r="H175" s="38">
        <v>0</v>
      </c>
      <c r="I175" s="38">
        <v>0</v>
      </c>
      <c r="J175" s="38">
        <f t="shared" si="47"/>
        <v>0</v>
      </c>
      <c r="K175" s="38">
        <v>0</v>
      </c>
      <c r="L175" s="38">
        <v>0</v>
      </c>
      <c r="M175" s="38">
        <f t="shared" si="48"/>
        <v>0</v>
      </c>
      <c r="N175" s="38">
        <v>0</v>
      </c>
      <c r="O175" s="38">
        <v>0</v>
      </c>
      <c r="P175" s="38">
        <f t="shared" si="49"/>
        <v>0</v>
      </c>
      <c r="Q175" s="38">
        <v>0</v>
      </c>
      <c r="R175" s="38">
        <v>0</v>
      </c>
      <c r="S175" s="38">
        <f t="shared" si="50"/>
        <v>0</v>
      </c>
      <c r="T175" s="38">
        <v>1690</v>
      </c>
      <c r="U175" s="38">
        <v>1690</v>
      </c>
      <c r="V175" s="38">
        <f t="shared" si="51"/>
        <v>0</v>
      </c>
      <c r="W175" s="38">
        <v>0</v>
      </c>
      <c r="X175" s="38">
        <v>0</v>
      </c>
      <c r="Y175" s="38">
        <f t="shared" si="52"/>
        <v>0</v>
      </c>
      <c r="Z175" s="38">
        <v>0</v>
      </c>
      <c r="AA175" s="38">
        <v>0</v>
      </c>
      <c r="AB175" s="38">
        <f t="shared" si="53"/>
        <v>0</v>
      </c>
      <c r="AC175" s="38">
        <v>0</v>
      </c>
      <c r="AD175" s="38">
        <v>0</v>
      </c>
      <c r="AE175" s="38">
        <f t="shared" si="54"/>
        <v>0</v>
      </c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</row>
    <row r="176" spans="1:255" ht="21" customHeight="1" x14ac:dyDescent="0.25">
      <c r="A176" s="35" t="s">
        <v>171</v>
      </c>
      <c r="B176" s="36">
        <v>1</v>
      </c>
      <c r="C176" s="36">
        <v>311</v>
      </c>
      <c r="D176" s="36">
        <v>5205</v>
      </c>
      <c r="E176" s="38">
        <f t="shared" si="46"/>
        <v>1498</v>
      </c>
      <c r="F176" s="38">
        <f t="shared" si="46"/>
        <v>1498</v>
      </c>
      <c r="G176" s="38">
        <f t="shared" si="46"/>
        <v>0</v>
      </c>
      <c r="H176" s="38">
        <v>0</v>
      </c>
      <c r="I176" s="38">
        <v>0</v>
      </c>
      <c r="J176" s="38">
        <f t="shared" si="47"/>
        <v>0</v>
      </c>
      <c r="K176" s="38">
        <v>0</v>
      </c>
      <c r="L176" s="38">
        <v>0</v>
      </c>
      <c r="M176" s="38">
        <f t="shared" si="48"/>
        <v>0</v>
      </c>
      <c r="N176" s="38">
        <v>0</v>
      </c>
      <c r="O176" s="38">
        <v>0</v>
      </c>
      <c r="P176" s="38">
        <f t="shared" si="49"/>
        <v>0</v>
      </c>
      <c r="Q176" s="38">
        <v>0</v>
      </c>
      <c r="R176" s="38">
        <v>0</v>
      </c>
      <c r="S176" s="38">
        <f t="shared" si="50"/>
        <v>0</v>
      </c>
      <c r="T176" s="38">
        <v>1498</v>
      </c>
      <c r="U176" s="38">
        <v>1498</v>
      </c>
      <c r="V176" s="38">
        <f t="shared" si="51"/>
        <v>0</v>
      </c>
      <c r="W176" s="38">
        <v>0</v>
      </c>
      <c r="X176" s="38">
        <v>0</v>
      </c>
      <c r="Y176" s="38">
        <f t="shared" si="52"/>
        <v>0</v>
      </c>
      <c r="Z176" s="38">
        <v>0</v>
      </c>
      <c r="AA176" s="38">
        <v>0</v>
      </c>
      <c r="AB176" s="38">
        <f t="shared" si="53"/>
        <v>0</v>
      </c>
      <c r="AC176" s="38">
        <v>0</v>
      </c>
      <c r="AD176" s="38">
        <v>0</v>
      </c>
      <c r="AE176" s="38">
        <f t="shared" si="54"/>
        <v>0</v>
      </c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</row>
    <row r="177" spans="1:255" ht="31.5" x14ac:dyDescent="0.25">
      <c r="A177" s="35" t="s">
        <v>172</v>
      </c>
      <c r="B177" s="36">
        <v>1</v>
      </c>
      <c r="C177" s="36">
        <v>311</v>
      </c>
      <c r="D177" s="36">
        <v>5205</v>
      </c>
      <c r="E177" s="38">
        <f t="shared" si="46"/>
        <v>1352</v>
      </c>
      <c r="F177" s="38">
        <f t="shared" si="46"/>
        <v>1352</v>
      </c>
      <c r="G177" s="38">
        <f t="shared" si="46"/>
        <v>0</v>
      </c>
      <c r="H177" s="38">
        <v>0</v>
      </c>
      <c r="I177" s="38">
        <v>0</v>
      </c>
      <c r="J177" s="38">
        <f t="shared" si="47"/>
        <v>0</v>
      </c>
      <c r="K177" s="38">
        <v>0</v>
      </c>
      <c r="L177" s="38">
        <v>0</v>
      </c>
      <c r="M177" s="38">
        <f t="shared" si="48"/>
        <v>0</v>
      </c>
      <c r="N177" s="38">
        <v>0</v>
      </c>
      <c r="O177" s="38">
        <v>0</v>
      </c>
      <c r="P177" s="38">
        <f t="shared" si="49"/>
        <v>0</v>
      </c>
      <c r="Q177" s="38">
        <v>0</v>
      </c>
      <c r="R177" s="38">
        <v>0</v>
      </c>
      <c r="S177" s="38">
        <f t="shared" si="50"/>
        <v>0</v>
      </c>
      <c r="T177" s="38">
        <v>1352</v>
      </c>
      <c r="U177" s="38">
        <v>1352</v>
      </c>
      <c r="V177" s="38">
        <f t="shared" si="51"/>
        <v>0</v>
      </c>
      <c r="W177" s="38">
        <v>0</v>
      </c>
      <c r="X177" s="38">
        <v>0</v>
      </c>
      <c r="Y177" s="38">
        <f t="shared" si="52"/>
        <v>0</v>
      </c>
      <c r="Z177" s="38">
        <v>0</v>
      </c>
      <c r="AA177" s="38">
        <v>0</v>
      </c>
      <c r="AB177" s="38">
        <f t="shared" si="53"/>
        <v>0</v>
      </c>
      <c r="AC177" s="38">
        <v>0</v>
      </c>
      <c r="AD177" s="38">
        <v>0</v>
      </c>
      <c r="AE177" s="38">
        <f t="shared" si="54"/>
        <v>0</v>
      </c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</row>
    <row r="178" spans="1:255" ht="31.5" x14ac:dyDescent="0.25">
      <c r="A178" s="35" t="s">
        <v>173</v>
      </c>
      <c r="B178" s="36">
        <v>1</v>
      </c>
      <c r="C178" s="36">
        <v>322</v>
      </c>
      <c r="D178" s="36">
        <v>5205</v>
      </c>
      <c r="E178" s="38">
        <f t="shared" si="46"/>
        <v>8314</v>
      </c>
      <c r="F178" s="38">
        <f t="shared" si="46"/>
        <v>8314</v>
      </c>
      <c r="G178" s="38">
        <f t="shared" si="46"/>
        <v>0</v>
      </c>
      <c r="H178" s="38">
        <v>0</v>
      </c>
      <c r="I178" s="38">
        <v>0</v>
      </c>
      <c r="J178" s="38">
        <f t="shared" si="47"/>
        <v>0</v>
      </c>
      <c r="K178" s="38">
        <v>0</v>
      </c>
      <c r="L178" s="38">
        <v>0</v>
      </c>
      <c r="M178" s="38">
        <f t="shared" si="48"/>
        <v>0</v>
      </c>
      <c r="N178" s="38">
        <v>0</v>
      </c>
      <c r="O178" s="38">
        <v>0</v>
      </c>
      <c r="P178" s="38">
        <f t="shared" si="49"/>
        <v>0</v>
      </c>
      <c r="Q178" s="38">
        <v>0</v>
      </c>
      <c r="R178" s="38">
        <v>0</v>
      </c>
      <c r="S178" s="38">
        <f t="shared" si="50"/>
        <v>0</v>
      </c>
      <c r="T178" s="38">
        <v>8314</v>
      </c>
      <c r="U178" s="38">
        <v>8314</v>
      </c>
      <c r="V178" s="38">
        <f t="shared" si="51"/>
        <v>0</v>
      </c>
      <c r="W178" s="38">
        <v>0</v>
      </c>
      <c r="X178" s="38">
        <v>0</v>
      </c>
      <c r="Y178" s="38">
        <f t="shared" si="52"/>
        <v>0</v>
      </c>
      <c r="Z178" s="38">
        <v>0</v>
      </c>
      <c r="AA178" s="38">
        <v>0</v>
      </c>
      <c r="AB178" s="38">
        <f t="shared" si="53"/>
        <v>0</v>
      </c>
      <c r="AC178" s="38">
        <v>0</v>
      </c>
      <c r="AD178" s="38">
        <v>0</v>
      </c>
      <c r="AE178" s="38">
        <f t="shared" si="54"/>
        <v>0</v>
      </c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</row>
    <row r="179" spans="1:255" x14ac:dyDescent="0.25">
      <c r="A179" s="26" t="s">
        <v>58</v>
      </c>
      <c r="B179" s="34"/>
      <c r="C179" s="34"/>
      <c r="D179" s="34"/>
      <c r="E179" s="27">
        <f t="shared" si="46"/>
        <v>390843</v>
      </c>
      <c r="F179" s="27">
        <f t="shared" si="46"/>
        <v>390843</v>
      </c>
      <c r="G179" s="27">
        <f t="shared" si="46"/>
        <v>0</v>
      </c>
      <c r="H179" s="27">
        <f>SUM(H180,H186,H190,H184)</f>
        <v>0</v>
      </c>
      <c r="I179" s="27">
        <f>SUM(I180,I186,I190,I184)</f>
        <v>0</v>
      </c>
      <c r="J179" s="27">
        <f t="shared" si="47"/>
        <v>0</v>
      </c>
      <c r="K179" s="27">
        <f>SUM(K180,K186,K190,K184)</f>
        <v>0</v>
      </c>
      <c r="L179" s="27">
        <f>SUM(L180,L186,L190,L184)</f>
        <v>0</v>
      </c>
      <c r="M179" s="27">
        <f t="shared" si="48"/>
        <v>0</v>
      </c>
      <c r="N179" s="27">
        <f>SUM(N180,N186,N190,N184)</f>
        <v>9255</v>
      </c>
      <c r="O179" s="27">
        <f>SUM(O180,O186,O190,O184)</f>
        <v>9255</v>
      </c>
      <c r="P179" s="27">
        <f t="shared" si="49"/>
        <v>0</v>
      </c>
      <c r="Q179" s="27">
        <f>SUM(Q180,Q186,Q190,Q184)</f>
        <v>230800</v>
      </c>
      <c r="R179" s="27">
        <f>SUM(R180,R186,R190,R184)</f>
        <v>230800</v>
      </c>
      <c r="S179" s="27">
        <f t="shared" si="50"/>
        <v>0</v>
      </c>
      <c r="T179" s="27">
        <f>SUM(T180,T186,T190,T184)</f>
        <v>150788</v>
      </c>
      <c r="U179" s="27">
        <f>SUM(U180,U186,U190,U184)</f>
        <v>150788</v>
      </c>
      <c r="V179" s="27">
        <f t="shared" si="51"/>
        <v>0</v>
      </c>
      <c r="W179" s="27">
        <f>SUM(W180,W186,W190,W184)</f>
        <v>0</v>
      </c>
      <c r="X179" s="27">
        <f>SUM(X180,X186,X190,X184)</f>
        <v>0</v>
      </c>
      <c r="Y179" s="27">
        <f t="shared" si="52"/>
        <v>0</v>
      </c>
      <c r="Z179" s="27">
        <f>SUM(Z180,Z186,Z190,Z184)</f>
        <v>0</v>
      </c>
      <c r="AA179" s="27">
        <f>SUM(AA180,AA186,AA190,AA184)</f>
        <v>0</v>
      </c>
      <c r="AB179" s="27">
        <f t="shared" si="53"/>
        <v>0</v>
      </c>
      <c r="AC179" s="27">
        <f>SUM(AC180,AC186,AC190,AC184)</f>
        <v>0</v>
      </c>
      <c r="AD179" s="27">
        <f>SUM(AD180,AD186,AD190,AD184)</f>
        <v>0</v>
      </c>
      <c r="AE179" s="27">
        <f t="shared" si="54"/>
        <v>0</v>
      </c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</row>
    <row r="180" spans="1:255" x14ac:dyDescent="0.25">
      <c r="A180" s="26" t="s">
        <v>110</v>
      </c>
      <c r="B180" s="34"/>
      <c r="C180" s="34"/>
      <c r="D180" s="34"/>
      <c r="E180" s="27">
        <f t="shared" si="46"/>
        <v>7993</v>
      </c>
      <c r="F180" s="27">
        <f t="shared" si="46"/>
        <v>7993</v>
      </c>
      <c r="G180" s="27">
        <f t="shared" si="46"/>
        <v>0</v>
      </c>
      <c r="H180" s="27">
        <f>SUM(H181:H183)</f>
        <v>0</v>
      </c>
      <c r="I180" s="27">
        <f>SUM(I181:I183)</f>
        <v>0</v>
      </c>
      <c r="J180" s="27">
        <f t="shared" si="47"/>
        <v>0</v>
      </c>
      <c r="K180" s="27">
        <f>SUM(K181:K183)</f>
        <v>0</v>
      </c>
      <c r="L180" s="27">
        <f>SUM(L181:L183)</f>
        <v>0</v>
      </c>
      <c r="M180" s="27">
        <f t="shared" si="48"/>
        <v>0</v>
      </c>
      <c r="N180" s="27">
        <f>SUM(N181:N183)</f>
        <v>0</v>
      </c>
      <c r="O180" s="27">
        <f>SUM(O181:O183)</f>
        <v>0</v>
      </c>
      <c r="P180" s="27">
        <f t="shared" si="49"/>
        <v>0</v>
      </c>
      <c r="Q180" s="27">
        <f>SUM(Q181:Q183)</f>
        <v>0</v>
      </c>
      <c r="R180" s="27">
        <f>SUM(R181:R183)</f>
        <v>0</v>
      </c>
      <c r="S180" s="27">
        <f t="shared" si="50"/>
        <v>0</v>
      </c>
      <c r="T180" s="27">
        <f>SUM(T181:T183)</f>
        <v>7993</v>
      </c>
      <c r="U180" s="27">
        <f>SUM(U181:U183)</f>
        <v>7993</v>
      </c>
      <c r="V180" s="27">
        <f t="shared" si="51"/>
        <v>0</v>
      </c>
      <c r="W180" s="27">
        <f>SUM(W181:W183)</f>
        <v>0</v>
      </c>
      <c r="X180" s="27">
        <f>SUM(X181:X183)</f>
        <v>0</v>
      </c>
      <c r="Y180" s="27">
        <f t="shared" si="52"/>
        <v>0</v>
      </c>
      <c r="Z180" s="27">
        <f>SUM(Z181:Z183)</f>
        <v>0</v>
      </c>
      <c r="AA180" s="27">
        <f>SUM(AA181:AA183)</f>
        <v>0</v>
      </c>
      <c r="AB180" s="27">
        <f t="shared" si="53"/>
        <v>0</v>
      </c>
      <c r="AC180" s="27">
        <f>SUM(AC181:AC183)</f>
        <v>0</v>
      </c>
      <c r="AD180" s="27">
        <f>SUM(AD181:AD183)</f>
        <v>0</v>
      </c>
      <c r="AE180" s="27">
        <f t="shared" si="54"/>
        <v>0</v>
      </c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</row>
    <row r="181" spans="1:255" ht="31.5" x14ac:dyDescent="0.25">
      <c r="A181" s="35" t="s">
        <v>175</v>
      </c>
      <c r="B181" s="36">
        <v>1</v>
      </c>
      <c r="C181" s="36">
        <v>431</v>
      </c>
      <c r="D181" s="36">
        <v>5201</v>
      </c>
      <c r="E181" s="38">
        <f t="shared" si="46"/>
        <v>2503</v>
      </c>
      <c r="F181" s="38">
        <f t="shared" si="46"/>
        <v>2503</v>
      </c>
      <c r="G181" s="38">
        <f t="shared" si="46"/>
        <v>0</v>
      </c>
      <c r="H181" s="38">
        <v>0</v>
      </c>
      <c r="I181" s="38">
        <v>0</v>
      </c>
      <c r="J181" s="38">
        <f t="shared" si="47"/>
        <v>0</v>
      </c>
      <c r="K181" s="38">
        <v>0</v>
      </c>
      <c r="L181" s="38">
        <v>0</v>
      </c>
      <c r="M181" s="38">
        <f t="shared" si="48"/>
        <v>0</v>
      </c>
      <c r="N181" s="38">
        <v>0</v>
      </c>
      <c r="O181" s="38">
        <v>0</v>
      </c>
      <c r="P181" s="38">
        <f t="shared" si="49"/>
        <v>0</v>
      </c>
      <c r="Q181" s="38">
        <v>0</v>
      </c>
      <c r="R181" s="38">
        <v>0</v>
      </c>
      <c r="S181" s="38">
        <f t="shared" si="50"/>
        <v>0</v>
      </c>
      <c r="T181" s="38">
        <v>2503</v>
      </c>
      <c r="U181" s="38">
        <v>2503</v>
      </c>
      <c r="V181" s="38">
        <f t="shared" si="51"/>
        <v>0</v>
      </c>
      <c r="W181" s="38">
        <v>0</v>
      </c>
      <c r="X181" s="38">
        <v>0</v>
      </c>
      <c r="Y181" s="38">
        <f t="shared" si="52"/>
        <v>0</v>
      </c>
      <c r="Z181" s="38">
        <v>0</v>
      </c>
      <c r="AA181" s="38">
        <v>0</v>
      </c>
      <c r="AB181" s="38">
        <f t="shared" si="53"/>
        <v>0</v>
      </c>
      <c r="AC181" s="38">
        <v>0</v>
      </c>
      <c r="AD181" s="38">
        <v>0</v>
      </c>
      <c r="AE181" s="38">
        <f t="shared" si="54"/>
        <v>0</v>
      </c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</row>
    <row r="182" spans="1:255" ht="31.5" x14ac:dyDescent="0.25">
      <c r="A182" s="35" t="s">
        <v>176</v>
      </c>
      <c r="B182" s="40">
        <v>1</v>
      </c>
      <c r="C182" s="40">
        <v>437</v>
      </c>
      <c r="D182" s="40">
        <v>5201</v>
      </c>
      <c r="E182" s="38">
        <f t="shared" si="46"/>
        <v>1367</v>
      </c>
      <c r="F182" s="38">
        <f t="shared" si="46"/>
        <v>1367</v>
      </c>
      <c r="G182" s="38">
        <f t="shared" si="46"/>
        <v>0</v>
      </c>
      <c r="H182" s="38">
        <v>0</v>
      </c>
      <c r="I182" s="38">
        <v>0</v>
      </c>
      <c r="J182" s="38">
        <f t="shared" si="47"/>
        <v>0</v>
      </c>
      <c r="K182" s="38">
        <v>0</v>
      </c>
      <c r="L182" s="38">
        <v>0</v>
      </c>
      <c r="M182" s="38">
        <f t="shared" si="48"/>
        <v>0</v>
      </c>
      <c r="N182" s="38">
        <v>0</v>
      </c>
      <c r="O182" s="38">
        <v>0</v>
      </c>
      <c r="P182" s="38">
        <f t="shared" si="49"/>
        <v>0</v>
      </c>
      <c r="Q182" s="38">
        <v>0</v>
      </c>
      <c r="R182" s="38">
        <v>0</v>
      </c>
      <c r="S182" s="38">
        <f t="shared" si="50"/>
        <v>0</v>
      </c>
      <c r="T182" s="38">
        <v>1367</v>
      </c>
      <c r="U182" s="38">
        <v>1367</v>
      </c>
      <c r="V182" s="38">
        <f t="shared" si="51"/>
        <v>0</v>
      </c>
      <c r="W182" s="38">
        <v>0</v>
      </c>
      <c r="X182" s="38">
        <v>0</v>
      </c>
      <c r="Y182" s="38">
        <f t="shared" si="52"/>
        <v>0</v>
      </c>
      <c r="Z182" s="38">
        <v>0</v>
      </c>
      <c r="AA182" s="38">
        <v>0</v>
      </c>
      <c r="AB182" s="38">
        <f t="shared" si="53"/>
        <v>0</v>
      </c>
      <c r="AC182" s="38">
        <v>0</v>
      </c>
      <c r="AD182" s="38">
        <v>0</v>
      </c>
      <c r="AE182" s="38">
        <f t="shared" si="54"/>
        <v>0</v>
      </c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</row>
    <row r="183" spans="1:255" x14ac:dyDescent="0.25">
      <c r="A183" s="35" t="s">
        <v>177</v>
      </c>
      <c r="B183" s="40">
        <v>1</v>
      </c>
      <c r="C183" s="40">
        <v>469</v>
      </c>
      <c r="D183" s="40">
        <v>5201</v>
      </c>
      <c r="E183" s="38">
        <f t="shared" si="46"/>
        <v>4123</v>
      </c>
      <c r="F183" s="38">
        <f t="shared" si="46"/>
        <v>4123</v>
      </c>
      <c r="G183" s="38">
        <f t="shared" si="46"/>
        <v>0</v>
      </c>
      <c r="H183" s="38">
        <v>0</v>
      </c>
      <c r="I183" s="38">
        <v>0</v>
      </c>
      <c r="J183" s="38">
        <f t="shared" si="47"/>
        <v>0</v>
      </c>
      <c r="K183" s="38">
        <v>0</v>
      </c>
      <c r="L183" s="38">
        <v>0</v>
      </c>
      <c r="M183" s="38">
        <f t="shared" si="48"/>
        <v>0</v>
      </c>
      <c r="N183" s="38"/>
      <c r="O183" s="38"/>
      <c r="P183" s="38">
        <f t="shared" si="49"/>
        <v>0</v>
      </c>
      <c r="Q183" s="38">
        <v>0</v>
      </c>
      <c r="R183" s="38">
        <v>0</v>
      </c>
      <c r="S183" s="38">
        <f t="shared" si="50"/>
        <v>0</v>
      </c>
      <c r="T183" s="38">
        <v>4123</v>
      </c>
      <c r="U183" s="38">
        <v>4123</v>
      </c>
      <c r="V183" s="38">
        <f t="shared" si="51"/>
        <v>0</v>
      </c>
      <c r="W183" s="38">
        <v>0</v>
      </c>
      <c r="X183" s="38">
        <v>0</v>
      </c>
      <c r="Y183" s="38">
        <f t="shared" si="52"/>
        <v>0</v>
      </c>
      <c r="Z183" s="38">
        <v>0</v>
      </c>
      <c r="AA183" s="38">
        <v>0</v>
      </c>
      <c r="AB183" s="38">
        <f t="shared" si="53"/>
        <v>0</v>
      </c>
      <c r="AC183" s="38">
        <v>0</v>
      </c>
      <c r="AD183" s="38">
        <v>0</v>
      </c>
      <c r="AE183" s="38">
        <f t="shared" si="54"/>
        <v>0</v>
      </c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</row>
    <row r="184" spans="1:255" x14ac:dyDescent="0.25">
      <c r="A184" s="26" t="s">
        <v>116</v>
      </c>
      <c r="B184" s="34"/>
      <c r="C184" s="34"/>
      <c r="D184" s="34"/>
      <c r="E184" s="27">
        <f t="shared" si="46"/>
        <v>190849</v>
      </c>
      <c r="F184" s="27">
        <f t="shared" si="46"/>
        <v>190849</v>
      </c>
      <c r="G184" s="27">
        <f t="shared" si="46"/>
        <v>0</v>
      </c>
      <c r="H184" s="27">
        <f>SUM(H185:H185)</f>
        <v>0</v>
      </c>
      <c r="I184" s="27">
        <f>SUM(I185:I185)</f>
        <v>0</v>
      </c>
      <c r="J184" s="27">
        <f t="shared" si="47"/>
        <v>0</v>
      </c>
      <c r="K184" s="27">
        <f>SUM(K185:K185)</f>
        <v>0</v>
      </c>
      <c r="L184" s="27">
        <f>SUM(L185:L185)</f>
        <v>0</v>
      </c>
      <c r="M184" s="27">
        <f t="shared" si="48"/>
        <v>0</v>
      </c>
      <c r="N184" s="27">
        <f>SUM(N185:N185)</f>
        <v>9255</v>
      </c>
      <c r="O184" s="27">
        <f>SUM(O185:O185)</f>
        <v>9255</v>
      </c>
      <c r="P184" s="27">
        <f t="shared" si="49"/>
        <v>0</v>
      </c>
      <c r="Q184" s="27">
        <f>SUM(Q185:Q185)</f>
        <v>181594</v>
      </c>
      <c r="R184" s="27">
        <f>SUM(R185:R185)</f>
        <v>181594</v>
      </c>
      <c r="S184" s="27">
        <f t="shared" si="50"/>
        <v>0</v>
      </c>
      <c r="T184" s="27">
        <f>SUM(T185:T185)</f>
        <v>0</v>
      </c>
      <c r="U184" s="27">
        <f>SUM(U185:U185)</f>
        <v>0</v>
      </c>
      <c r="V184" s="27">
        <f t="shared" si="51"/>
        <v>0</v>
      </c>
      <c r="W184" s="27">
        <f>SUM(W185:W185)</f>
        <v>0</v>
      </c>
      <c r="X184" s="27">
        <f>SUM(X185:X185)</f>
        <v>0</v>
      </c>
      <c r="Y184" s="27">
        <f t="shared" si="52"/>
        <v>0</v>
      </c>
      <c r="Z184" s="27">
        <f>SUM(Z185:Z185)</f>
        <v>0</v>
      </c>
      <c r="AA184" s="27">
        <f>SUM(AA185:AA185)</f>
        <v>0</v>
      </c>
      <c r="AB184" s="27">
        <f t="shared" si="53"/>
        <v>0</v>
      </c>
      <c r="AC184" s="27">
        <f>SUM(AC185:AC185)</f>
        <v>0</v>
      </c>
      <c r="AD184" s="27">
        <f>SUM(AD185:AD185)</f>
        <v>0</v>
      </c>
      <c r="AE184" s="27">
        <f t="shared" si="54"/>
        <v>0</v>
      </c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</row>
    <row r="185" spans="1:255" ht="94.5" x14ac:dyDescent="0.25">
      <c r="A185" s="35" t="s">
        <v>178</v>
      </c>
      <c r="B185" s="36">
        <v>3</v>
      </c>
      <c r="C185" s="36">
        <v>469</v>
      </c>
      <c r="D185" s="36">
        <v>5202</v>
      </c>
      <c r="E185" s="38">
        <f t="shared" si="46"/>
        <v>190849</v>
      </c>
      <c r="F185" s="38">
        <f t="shared" si="46"/>
        <v>190849</v>
      </c>
      <c r="G185" s="38">
        <f t="shared" si="46"/>
        <v>0</v>
      </c>
      <c r="H185" s="38">
        <v>0</v>
      </c>
      <c r="I185" s="38">
        <v>0</v>
      </c>
      <c r="J185" s="38">
        <f t="shared" si="47"/>
        <v>0</v>
      </c>
      <c r="K185" s="38">
        <v>0</v>
      </c>
      <c r="L185" s="38">
        <v>0</v>
      </c>
      <c r="M185" s="38">
        <f t="shared" si="48"/>
        <v>0</v>
      </c>
      <c r="N185" s="38">
        <v>9255</v>
      </c>
      <c r="O185" s="38">
        <v>9255</v>
      </c>
      <c r="P185" s="38">
        <f t="shared" si="49"/>
        <v>0</v>
      </c>
      <c r="Q185" s="38">
        <v>181594</v>
      </c>
      <c r="R185" s="38">
        <v>181594</v>
      </c>
      <c r="S185" s="38">
        <f t="shared" si="50"/>
        <v>0</v>
      </c>
      <c r="T185" s="38">
        <v>0</v>
      </c>
      <c r="U185" s="38">
        <v>0</v>
      </c>
      <c r="V185" s="38">
        <f t="shared" si="51"/>
        <v>0</v>
      </c>
      <c r="W185" s="38">
        <v>0</v>
      </c>
      <c r="X185" s="38">
        <v>0</v>
      </c>
      <c r="Y185" s="38">
        <f t="shared" si="52"/>
        <v>0</v>
      </c>
      <c r="Z185" s="38">
        <v>0</v>
      </c>
      <c r="AA185" s="38">
        <v>0</v>
      </c>
      <c r="AB185" s="38">
        <f t="shared" si="53"/>
        <v>0</v>
      </c>
      <c r="AC185" s="38">
        <v>0</v>
      </c>
      <c r="AD185" s="38">
        <v>0</v>
      </c>
      <c r="AE185" s="38">
        <f t="shared" si="54"/>
        <v>0</v>
      </c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</row>
    <row r="186" spans="1:255" ht="31.5" x14ac:dyDescent="0.25">
      <c r="A186" s="26" t="s">
        <v>118</v>
      </c>
      <c r="B186" s="34"/>
      <c r="C186" s="34"/>
      <c r="D186" s="34"/>
      <c r="E186" s="27">
        <f t="shared" si="46"/>
        <v>118850</v>
      </c>
      <c r="F186" s="27">
        <f t="shared" si="46"/>
        <v>118850</v>
      </c>
      <c r="G186" s="27">
        <f t="shared" si="46"/>
        <v>0</v>
      </c>
      <c r="H186" s="27">
        <f>SUM(H187:H189)</f>
        <v>0</v>
      </c>
      <c r="I186" s="27">
        <f>SUM(I187:I189)</f>
        <v>0</v>
      </c>
      <c r="J186" s="27">
        <f t="shared" si="47"/>
        <v>0</v>
      </c>
      <c r="K186" s="27">
        <f>SUM(K187:K189)</f>
        <v>0</v>
      </c>
      <c r="L186" s="27">
        <f>SUM(L187:L189)</f>
        <v>0</v>
      </c>
      <c r="M186" s="27">
        <f t="shared" si="48"/>
        <v>0</v>
      </c>
      <c r="N186" s="27">
        <f>SUM(N187:N189)</f>
        <v>0</v>
      </c>
      <c r="O186" s="27">
        <f>SUM(O187:O189)</f>
        <v>0</v>
      </c>
      <c r="P186" s="27">
        <f t="shared" si="49"/>
        <v>0</v>
      </c>
      <c r="Q186" s="27">
        <f>SUM(Q187:Q189)</f>
        <v>49206</v>
      </c>
      <c r="R186" s="27">
        <f>SUM(R187:R189)</f>
        <v>49206</v>
      </c>
      <c r="S186" s="27">
        <f t="shared" si="50"/>
        <v>0</v>
      </c>
      <c r="T186" s="27">
        <f>SUM(T187:T189)</f>
        <v>69644</v>
      </c>
      <c r="U186" s="27">
        <f>SUM(U187:U189)</f>
        <v>69644</v>
      </c>
      <c r="V186" s="27">
        <f t="shared" si="51"/>
        <v>0</v>
      </c>
      <c r="W186" s="27">
        <f>SUM(W187:W189)</f>
        <v>0</v>
      </c>
      <c r="X186" s="27">
        <f>SUM(X187:X189)</f>
        <v>0</v>
      </c>
      <c r="Y186" s="27">
        <f t="shared" si="52"/>
        <v>0</v>
      </c>
      <c r="Z186" s="27">
        <f>SUM(Z187:Z189)</f>
        <v>0</v>
      </c>
      <c r="AA186" s="27">
        <f>SUM(AA187:AA189)</f>
        <v>0</v>
      </c>
      <c r="AB186" s="27">
        <f t="shared" si="53"/>
        <v>0</v>
      </c>
      <c r="AC186" s="27">
        <f>SUM(AC187:AC189)</f>
        <v>0</v>
      </c>
      <c r="AD186" s="27">
        <f>SUM(AD187:AD189)</f>
        <v>0</v>
      </c>
      <c r="AE186" s="27">
        <f t="shared" si="54"/>
        <v>0</v>
      </c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</row>
    <row r="187" spans="1:255" ht="47.25" x14ac:dyDescent="0.25">
      <c r="A187" s="35" t="s">
        <v>179</v>
      </c>
      <c r="B187" s="40">
        <v>1</v>
      </c>
      <c r="C187" s="40">
        <v>431</v>
      </c>
      <c r="D187" s="40">
        <v>5203</v>
      </c>
      <c r="E187" s="38">
        <f t="shared" si="46"/>
        <v>67417</v>
      </c>
      <c r="F187" s="38">
        <f t="shared" si="46"/>
        <v>67417</v>
      </c>
      <c r="G187" s="38">
        <f t="shared" si="46"/>
        <v>0</v>
      </c>
      <c r="H187" s="38">
        <v>0</v>
      </c>
      <c r="I187" s="38">
        <v>0</v>
      </c>
      <c r="J187" s="38">
        <f t="shared" si="47"/>
        <v>0</v>
      </c>
      <c r="K187" s="38">
        <v>0</v>
      </c>
      <c r="L187" s="38">
        <v>0</v>
      </c>
      <c r="M187" s="38">
        <f t="shared" si="48"/>
        <v>0</v>
      </c>
      <c r="N187" s="38"/>
      <c r="O187" s="38"/>
      <c r="P187" s="38">
        <f t="shared" si="49"/>
        <v>0</v>
      </c>
      <c r="Q187" s="38">
        <v>0</v>
      </c>
      <c r="R187" s="38">
        <v>0</v>
      </c>
      <c r="S187" s="38">
        <f t="shared" si="50"/>
        <v>0</v>
      </c>
      <c r="T187" s="38">
        <v>67417</v>
      </c>
      <c r="U187" s="38">
        <v>67417</v>
      </c>
      <c r="V187" s="38">
        <f t="shared" si="51"/>
        <v>0</v>
      </c>
      <c r="W187" s="38">
        <v>0</v>
      </c>
      <c r="X187" s="38">
        <v>0</v>
      </c>
      <c r="Y187" s="38">
        <f t="shared" si="52"/>
        <v>0</v>
      </c>
      <c r="Z187" s="38">
        <v>0</v>
      </c>
      <c r="AA187" s="38">
        <v>0</v>
      </c>
      <c r="AB187" s="38">
        <f t="shared" si="53"/>
        <v>0</v>
      </c>
      <c r="AC187" s="38">
        <v>0</v>
      </c>
      <c r="AD187" s="38">
        <v>0</v>
      </c>
      <c r="AE187" s="38">
        <f t="shared" si="54"/>
        <v>0</v>
      </c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</row>
    <row r="188" spans="1:255" ht="110.25" x14ac:dyDescent="0.25">
      <c r="A188" s="35" t="s">
        <v>180</v>
      </c>
      <c r="B188" s="36">
        <v>3</v>
      </c>
      <c r="C188" s="36">
        <v>469</v>
      </c>
      <c r="D188" s="36">
        <v>5203</v>
      </c>
      <c r="E188" s="38">
        <f t="shared" si="46"/>
        <v>49206</v>
      </c>
      <c r="F188" s="38">
        <f t="shared" si="46"/>
        <v>49206</v>
      </c>
      <c r="G188" s="38">
        <f t="shared" si="46"/>
        <v>0</v>
      </c>
      <c r="H188" s="38">
        <v>0</v>
      </c>
      <c r="I188" s="38">
        <v>0</v>
      </c>
      <c r="J188" s="38">
        <f t="shared" si="47"/>
        <v>0</v>
      </c>
      <c r="K188" s="38">
        <v>0</v>
      </c>
      <c r="L188" s="38">
        <v>0</v>
      </c>
      <c r="M188" s="38">
        <f t="shared" si="48"/>
        <v>0</v>
      </c>
      <c r="N188" s="38">
        <v>0</v>
      </c>
      <c r="O188" s="38">
        <v>0</v>
      </c>
      <c r="P188" s="38">
        <f t="shared" si="49"/>
        <v>0</v>
      </c>
      <c r="Q188" s="38">
        <f>25410+23796</f>
        <v>49206</v>
      </c>
      <c r="R188" s="38">
        <f>25410+23796</f>
        <v>49206</v>
      </c>
      <c r="S188" s="38">
        <f t="shared" si="50"/>
        <v>0</v>
      </c>
      <c r="T188" s="38">
        <v>0</v>
      </c>
      <c r="U188" s="38">
        <v>0</v>
      </c>
      <c r="V188" s="38">
        <f t="shared" si="51"/>
        <v>0</v>
      </c>
      <c r="W188" s="38">
        <v>0</v>
      </c>
      <c r="X188" s="38">
        <v>0</v>
      </c>
      <c r="Y188" s="38">
        <f t="shared" si="52"/>
        <v>0</v>
      </c>
      <c r="Z188" s="38">
        <v>0</v>
      </c>
      <c r="AA188" s="38">
        <v>0</v>
      </c>
      <c r="AB188" s="38">
        <f t="shared" si="53"/>
        <v>0</v>
      </c>
      <c r="AC188" s="38">
        <v>0</v>
      </c>
      <c r="AD188" s="38">
        <v>0</v>
      </c>
      <c r="AE188" s="38">
        <f t="shared" si="54"/>
        <v>0</v>
      </c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</row>
    <row r="189" spans="1:255" x14ac:dyDescent="0.25">
      <c r="A189" s="35" t="s">
        <v>181</v>
      </c>
      <c r="B189" s="40">
        <v>1</v>
      </c>
      <c r="C189" s="40">
        <v>431</v>
      </c>
      <c r="D189" s="40">
        <v>5203</v>
      </c>
      <c r="E189" s="38">
        <f t="shared" si="46"/>
        <v>2227</v>
      </c>
      <c r="F189" s="38">
        <f t="shared" si="46"/>
        <v>2227</v>
      </c>
      <c r="G189" s="38">
        <f t="shared" si="46"/>
        <v>0</v>
      </c>
      <c r="H189" s="38">
        <v>0</v>
      </c>
      <c r="I189" s="38">
        <v>0</v>
      </c>
      <c r="J189" s="38">
        <f t="shared" si="47"/>
        <v>0</v>
      </c>
      <c r="K189" s="38">
        <v>0</v>
      </c>
      <c r="L189" s="38">
        <v>0</v>
      </c>
      <c r="M189" s="38">
        <f t="shared" si="48"/>
        <v>0</v>
      </c>
      <c r="N189" s="38"/>
      <c r="O189" s="38"/>
      <c r="P189" s="38">
        <f t="shared" si="49"/>
        <v>0</v>
      </c>
      <c r="Q189" s="38">
        <v>0</v>
      </c>
      <c r="R189" s="38">
        <v>0</v>
      </c>
      <c r="S189" s="38">
        <f t="shared" si="50"/>
        <v>0</v>
      </c>
      <c r="T189" s="38">
        <v>2227</v>
      </c>
      <c r="U189" s="38">
        <v>2227</v>
      </c>
      <c r="V189" s="38">
        <f t="shared" si="51"/>
        <v>0</v>
      </c>
      <c r="W189" s="38">
        <v>0</v>
      </c>
      <c r="X189" s="38">
        <v>0</v>
      </c>
      <c r="Y189" s="38">
        <f t="shared" si="52"/>
        <v>0</v>
      </c>
      <c r="Z189" s="38">
        <v>0</v>
      </c>
      <c r="AA189" s="38">
        <v>0</v>
      </c>
      <c r="AB189" s="38">
        <f t="shared" si="53"/>
        <v>0</v>
      </c>
      <c r="AC189" s="38">
        <v>0</v>
      </c>
      <c r="AD189" s="38">
        <v>0</v>
      </c>
      <c r="AE189" s="38">
        <f t="shared" si="54"/>
        <v>0</v>
      </c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</row>
    <row r="190" spans="1:255" x14ac:dyDescent="0.25">
      <c r="A190" s="26" t="s">
        <v>128</v>
      </c>
      <c r="B190" s="34"/>
      <c r="C190" s="34"/>
      <c r="D190" s="34"/>
      <c r="E190" s="27">
        <f t="shared" si="46"/>
        <v>73151</v>
      </c>
      <c r="F190" s="27">
        <f t="shared" si="46"/>
        <v>73151</v>
      </c>
      <c r="G190" s="27">
        <f t="shared" si="46"/>
        <v>0</v>
      </c>
      <c r="H190" s="27">
        <f>SUM(H191:H197)</f>
        <v>0</v>
      </c>
      <c r="I190" s="27">
        <f>SUM(I191:I197)</f>
        <v>0</v>
      </c>
      <c r="J190" s="27">
        <f t="shared" si="47"/>
        <v>0</v>
      </c>
      <c r="K190" s="27">
        <f>SUM(K191:K197)</f>
        <v>0</v>
      </c>
      <c r="L190" s="27">
        <f>SUM(L191:L197)</f>
        <v>0</v>
      </c>
      <c r="M190" s="27">
        <f t="shared" si="48"/>
        <v>0</v>
      </c>
      <c r="N190" s="27">
        <f>SUM(N191:N197)</f>
        <v>0</v>
      </c>
      <c r="O190" s="27">
        <f>SUM(O191:O197)</f>
        <v>0</v>
      </c>
      <c r="P190" s="27">
        <f t="shared" si="49"/>
        <v>0</v>
      </c>
      <c r="Q190" s="27">
        <f>SUM(Q191:Q197)</f>
        <v>0</v>
      </c>
      <c r="R190" s="27">
        <f>SUM(R191:R197)</f>
        <v>0</v>
      </c>
      <c r="S190" s="27">
        <f t="shared" si="50"/>
        <v>0</v>
      </c>
      <c r="T190" s="27">
        <f>SUM(T191:T197)</f>
        <v>73151</v>
      </c>
      <c r="U190" s="27">
        <f>SUM(U191:U197)</f>
        <v>73151</v>
      </c>
      <c r="V190" s="27">
        <f t="shared" si="51"/>
        <v>0</v>
      </c>
      <c r="W190" s="27">
        <f>SUM(W191:W197)</f>
        <v>0</v>
      </c>
      <c r="X190" s="27">
        <f>SUM(X191:X197)</f>
        <v>0</v>
      </c>
      <c r="Y190" s="27">
        <f t="shared" si="52"/>
        <v>0</v>
      </c>
      <c r="Z190" s="27">
        <f>SUM(Z191:Z197)</f>
        <v>0</v>
      </c>
      <c r="AA190" s="27">
        <f>SUM(AA191:AA197)</f>
        <v>0</v>
      </c>
      <c r="AB190" s="27">
        <f t="shared" si="53"/>
        <v>0</v>
      </c>
      <c r="AC190" s="27">
        <f>SUM(AC191:AC197)</f>
        <v>0</v>
      </c>
      <c r="AD190" s="27">
        <f>SUM(AD191:AD197)</f>
        <v>0</v>
      </c>
      <c r="AE190" s="27">
        <f t="shared" si="54"/>
        <v>0</v>
      </c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</row>
    <row r="191" spans="1:255" x14ac:dyDescent="0.25">
      <c r="A191" s="35" t="s">
        <v>182</v>
      </c>
      <c r="B191" s="36">
        <v>1</v>
      </c>
      <c r="C191" s="36">
        <v>431</v>
      </c>
      <c r="D191" s="36">
        <v>5205</v>
      </c>
      <c r="E191" s="38">
        <f t="shared" si="46"/>
        <v>5848</v>
      </c>
      <c r="F191" s="38">
        <f t="shared" si="46"/>
        <v>5848</v>
      </c>
      <c r="G191" s="38">
        <f t="shared" si="46"/>
        <v>0</v>
      </c>
      <c r="H191" s="38">
        <v>0</v>
      </c>
      <c r="I191" s="38">
        <v>0</v>
      </c>
      <c r="J191" s="38">
        <f t="shared" si="47"/>
        <v>0</v>
      </c>
      <c r="K191" s="38">
        <v>0</v>
      </c>
      <c r="L191" s="38">
        <v>0</v>
      </c>
      <c r="M191" s="38">
        <f t="shared" si="48"/>
        <v>0</v>
      </c>
      <c r="N191" s="38"/>
      <c r="O191" s="38"/>
      <c r="P191" s="38">
        <f t="shared" si="49"/>
        <v>0</v>
      </c>
      <c r="Q191" s="38">
        <v>0</v>
      </c>
      <c r="R191" s="38">
        <v>0</v>
      </c>
      <c r="S191" s="38">
        <f t="shared" si="50"/>
        <v>0</v>
      </c>
      <c r="T191" s="38">
        <v>5848</v>
      </c>
      <c r="U191" s="38">
        <v>5848</v>
      </c>
      <c r="V191" s="38">
        <f t="shared" si="51"/>
        <v>0</v>
      </c>
      <c r="W191" s="38">
        <v>0</v>
      </c>
      <c r="X191" s="38">
        <v>0</v>
      </c>
      <c r="Y191" s="38">
        <f t="shared" si="52"/>
        <v>0</v>
      </c>
      <c r="Z191" s="38">
        <v>0</v>
      </c>
      <c r="AA191" s="38">
        <v>0</v>
      </c>
      <c r="AB191" s="38">
        <f t="shared" si="53"/>
        <v>0</v>
      </c>
      <c r="AC191" s="38">
        <v>0</v>
      </c>
      <c r="AD191" s="38">
        <v>0</v>
      </c>
      <c r="AE191" s="38">
        <f t="shared" si="54"/>
        <v>0</v>
      </c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</row>
    <row r="192" spans="1:255" ht="31.5" x14ac:dyDescent="0.25">
      <c r="A192" s="35" t="s">
        <v>183</v>
      </c>
      <c r="B192" s="36">
        <v>1</v>
      </c>
      <c r="C192" s="36">
        <v>431</v>
      </c>
      <c r="D192" s="36">
        <v>5205</v>
      </c>
      <c r="E192" s="38">
        <f t="shared" si="46"/>
        <v>6065</v>
      </c>
      <c r="F192" s="38">
        <f t="shared" si="46"/>
        <v>6065</v>
      </c>
      <c r="G192" s="38">
        <f t="shared" si="46"/>
        <v>0</v>
      </c>
      <c r="H192" s="38">
        <v>0</v>
      </c>
      <c r="I192" s="38">
        <v>0</v>
      </c>
      <c r="J192" s="38">
        <f t="shared" si="47"/>
        <v>0</v>
      </c>
      <c r="K192" s="38">
        <v>0</v>
      </c>
      <c r="L192" s="38">
        <v>0</v>
      </c>
      <c r="M192" s="38">
        <f t="shared" si="48"/>
        <v>0</v>
      </c>
      <c r="N192" s="38"/>
      <c r="O192" s="38"/>
      <c r="P192" s="38">
        <f t="shared" si="49"/>
        <v>0</v>
      </c>
      <c r="Q192" s="38">
        <v>0</v>
      </c>
      <c r="R192" s="38">
        <v>0</v>
      </c>
      <c r="S192" s="38">
        <f t="shared" si="50"/>
        <v>0</v>
      </c>
      <c r="T192" s="38">
        <v>6065</v>
      </c>
      <c r="U192" s="38">
        <v>6065</v>
      </c>
      <c r="V192" s="38">
        <f t="shared" si="51"/>
        <v>0</v>
      </c>
      <c r="W192" s="38">
        <v>0</v>
      </c>
      <c r="X192" s="38">
        <v>0</v>
      </c>
      <c r="Y192" s="38">
        <f t="shared" si="52"/>
        <v>0</v>
      </c>
      <c r="Z192" s="38">
        <v>0</v>
      </c>
      <c r="AA192" s="38">
        <v>0</v>
      </c>
      <c r="AB192" s="38">
        <f t="shared" si="53"/>
        <v>0</v>
      </c>
      <c r="AC192" s="38">
        <v>0</v>
      </c>
      <c r="AD192" s="38">
        <v>0</v>
      </c>
      <c r="AE192" s="38">
        <f t="shared" si="54"/>
        <v>0</v>
      </c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</row>
    <row r="193" spans="1:255" ht="31.5" x14ac:dyDescent="0.25">
      <c r="A193" s="35" t="s">
        <v>184</v>
      </c>
      <c r="B193" s="36">
        <v>1</v>
      </c>
      <c r="C193" s="36">
        <v>431</v>
      </c>
      <c r="D193" s="36">
        <v>5205</v>
      </c>
      <c r="E193" s="38">
        <f t="shared" si="46"/>
        <v>8316</v>
      </c>
      <c r="F193" s="38">
        <f t="shared" si="46"/>
        <v>8316</v>
      </c>
      <c r="G193" s="38">
        <f t="shared" si="46"/>
        <v>0</v>
      </c>
      <c r="H193" s="38">
        <v>0</v>
      </c>
      <c r="I193" s="38">
        <v>0</v>
      </c>
      <c r="J193" s="38">
        <f t="shared" si="47"/>
        <v>0</v>
      </c>
      <c r="K193" s="38">
        <v>0</v>
      </c>
      <c r="L193" s="38">
        <v>0</v>
      </c>
      <c r="M193" s="38">
        <f t="shared" si="48"/>
        <v>0</v>
      </c>
      <c r="N193" s="38"/>
      <c r="O193" s="38"/>
      <c r="P193" s="38">
        <f t="shared" si="49"/>
        <v>0</v>
      </c>
      <c r="Q193" s="38">
        <v>0</v>
      </c>
      <c r="R193" s="38">
        <v>0</v>
      </c>
      <c r="S193" s="38">
        <f t="shared" si="50"/>
        <v>0</v>
      </c>
      <c r="T193" s="38">
        <f>1800+6516</f>
        <v>8316</v>
      </c>
      <c r="U193" s="38">
        <f>1800+6516</f>
        <v>8316</v>
      </c>
      <c r="V193" s="38">
        <f t="shared" si="51"/>
        <v>0</v>
      </c>
      <c r="W193" s="38">
        <v>0</v>
      </c>
      <c r="X193" s="38">
        <v>0</v>
      </c>
      <c r="Y193" s="38">
        <f t="shared" si="52"/>
        <v>0</v>
      </c>
      <c r="Z193" s="38">
        <v>0</v>
      </c>
      <c r="AA193" s="38">
        <v>0</v>
      </c>
      <c r="AB193" s="38">
        <f t="shared" si="53"/>
        <v>0</v>
      </c>
      <c r="AC193" s="38">
        <v>0</v>
      </c>
      <c r="AD193" s="38">
        <v>0</v>
      </c>
      <c r="AE193" s="38">
        <f t="shared" si="54"/>
        <v>0</v>
      </c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</row>
    <row r="194" spans="1:255" ht="47.25" x14ac:dyDescent="0.25">
      <c r="A194" s="35" t="s">
        <v>185</v>
      </c>
      <c r="B194" s="36">
        <v>1</v>
      </c>
      <c r="C194" s="36">
        <v>431</v>
      </c>
      <c r="D194" s="36">
        <v>5205</v>
      </c>
      <c r="E194" s="38">
        <f t="shared" si="46"/>
        <v>28316</v>
      </c>
      <c r="F194" s="38">
        <f t="shared" si="46"/>
        <v>28316</v>
      </c>
      <c r="G194" s="38">
        <f t="shared" si="46"/>
        <v>0</v>
      </c>
      <c r="H194" s="38">
        <v>0</v>
      </c>
      <c r="I194" s="38">
        <v>0</v>
      </c>
      <c r="J194" s="38">
        <f t="shared" si="47"/>
        <v>0</v>
      </c>
      <c r="K194" s="38">
        <v>0</v>
      </c>
      <c r="L194" s="38">
        <v>0</v>
      </c>
      <c r="M194" s="38">
        <f t="shared" si="48"/>
        <v>0</v>
      </c>
      <c r="N194" s="38">
        <v>0</v>
      </c>
      <c r="O194" s="38">
        <v>0</v>
      </c>
      <c r="P194" s="38">
        <f t="shared" si="49"/>
        <v>0</v>
      </c>
      <c r="Q194" s="38">
        <v>0</v>
      </c>
      <c r="R194" s="38">
        <v>0</v>
      </c>
      <c r="S194" s="38">
        <f t="shared" si="50"/>
        <v>0</v>
      </c>
      <c r="T194" s="38">
        <v>28316</v>
      </c>
      <c r="U194" s="38">
        <v>28316</v>
      </c>
      <c r="V194" s="38">
        <f t="shared" si="51"/>
        <v>0</v>
      </c>
      <c r="W194" s="38">
        <v>0</v>
      </c>
      <c r="X194" s="38">
        <v>0</v>
      </c>
      <c r="Y194" s="38">
        <f t="shared" si="52"/>
        <v>0</v>
      </c>
      <c r="Z194" s="38">
        <v>0</v>
      </c>
      <c r="AA194" s="38">
        <v>0</v>
      </c>
      <c r="AB194" s="38">
        <f t="shared" si="53"/>
        <v>0</v>
      </c>
      <c r="AC194" s="38">
        <v>0</v>
      </c>
      <c r="AD194" s="38">
        <v>0</v>
      </c>
      <c r="AE194" s="38">
        <f t="shared" si="54"/>
        <v>0</v>
      </c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</row>
    <row r="195" spans="1:255" ht="31.5" x14ac:dyDescent="0.25">
      <c r="A195" s="35" t="s">
        <v>186</v>
      </c>
      <c r="B195" s="36">
        <v>1</v>
      </c>
      <c r="C195" s="36">
        <v>431</v>
      </c>
      <c r="D195" s="36">
        <v>5205</v>
      </c>
      <c r="E195" s="38">
        <f t="shared" si="46"/>
        <v>10006</v>
      </c>
      <c r="F195" s="38">
        <f t="shared" si="46"/>
        <v>10006</v>
      </c>
      <c r="G195" s="38">
        <f t="shared" si="46"/>
        <v>0</v>
      </c>
      <c r="H195" s="38">
        <v>0</v>
      </c>
      <c r="I195" s="38">
        <v>0</v>
      </c>
      <c r="J195" s="38">
        <f t="shared" si="47"/>
        <v>0</v>
      </c>
      <c r="K195" s="38">
        <v>0</v>
      </c>
      <c r="L195" s="38">
        <v>0</v>
      </c>
      <c r="M195" s="38">
        <f t="shared" si="48"/>
        <v>0</v>
      </c>
      <c r="N195" s="38">
        <v>0</v>
      </c>
      <c r="O195" s="38">
        <v>0</v>
      </c>
      <c r="P195" s="38">
        <f t="shared" si="49"/>
        <v>0</v>
      </c>
      <c r="Q195" s="38">
        <v>0</v>
      </c>
      <c r="R195" s="38">
        <v>0</v>
      </c>
      <c r="S195" s="38">
        <f t="shared" si="50"/>
        <v>0</v>
      </c>
      <c r="T195" s="38">
        <v>10006</v>
      </c>
      <c r="U195" s="38">
        <v>10006</v>
      </c>
      <c r="V195" s="38">
        <f t="shared" si="51"/>
        <v>0</v>
      </c>
      <c r="W195" s="38">
        <v>0</v>
      </c>
      <c r="X195" s="38">
        <v>0</v>
      </c>
      <c r="Y195" s="38">
        <f t="shared" si="52"/>
        <v>0</v>
      </c>
      <c r="Z195" s="38">
        <v>0</v>
      </c>
      <c r="AA195" s="38">
        <v>0</v>
      </c>
      <c r="AB195" s="38">
        <f t="shared" si="53"/>
        <v>0</v>
      </c>
      <c r="AC195" s="38">
        <v>0</v>
      </c>
      <c r="AD195" s="38">
        <v>0</v>
      </c>
      <c r="AE195" s="38">
        <f t="shared" si="54"/>
        <v>0</v>
      </c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</row>
    <row r="196" spans="1:255" ht="31.5" x14ac:dyDescent="0.25">
      <c r="A196" s="35" t="s">
        <v>187</v>
      </c>
      <c r="B196" s="36">
        <v>1</v>
      </c>
      <c r="C196" s="36">
        <v>431</v>
      </c>
      <c r="D196" s="36">
        <v>5205</v>
      </c>
      <c r="E196" s="38">
        <f t="shared" si="46"/>
        <v>4594</v>
      </c>
      <c r="F196" s="38">
        <f t="shared" si="46"/>
        <v>4594</v>
      </c>
      <c r="G196" s="38">
        <f t="shared" si="46"/>
        <v>0</v>
      </c>
      <c r="H196" s="38">
        <v>0</v>
      </c>
      <c r="I196" s="38">
        <v>0</v>
      </c>
      <c r="J196" s="38">
        <f t="shared" si="47"/>
        <v>0</v>
      </c>
      <c r="K196" s="38">
        <v>0</v>
      </c>
      <c r="L196" s="38">
        <v>0</v>
      </c>
      <c r="M196" s="38">
        <f t="shared" si="48"/>
        <v>0</v>
      </c>
      <c r="N196" s="38">
        <v>0</v>
      </c>
      <c r="O196" s="38">
        <v>0</v>
      </c>
      <c r="P196" s="38">
        <f t="shared" si="49"/>
        <v>0</v>
      </c>
      <c r="Q196" s="38">
        <v>0</v>
      </c>
      <c r="R196" s="38">
        <v>0</v>
      </c>
      <c r="S196" s="38">
        <f t="shared" si="50"/>
        <v>0</v>
      </c>
      <c r="T196" s="38">
        <v>4594</v>
      </c>
      <c r="U196" s="38">
        <v>4594</v>
      </c>
      <c r="V196" s="38">
        <f t="shared" si="51"/>
        <v>0</v>
      </c>
      <c r="W196" s="38">
        <v>0</v>
      </c>
      <c r="X196" s="38">
        <v>0</v>
      </c>
      <c r="Y196" s="38">
        <f t="shared" si="52"/>
        <v>0</v>
      </c>
      <c r="Z196" s="38">
        <v>0</v>
      </c>
      <c r="AA196" s="38">
        <v>0</v>
      </c>
      <c r="AB196" s="38">
        <f t="shared" si="53"/>
        <v>0</v>
      </c>
      <c r="AC196" s="38">
        <v>0</v>
      </c>
      <c r="AD196" s="38">
        <v>0</v>
      </c>
      <c r="AE196" s="38">
        <f t="shared" si="54"/>
        <v>0</v>
      </c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</row>
    <row r="197" spans="1:255" ht="31.5" x14ac:dyDescent="0.25">
      <c r="A197" s="35" t="s">
        <v>188</v>
      </c>
      <c r="B197" s="36">
        <v>1</v>
      </c>
      <c r="C197" s="36">
        <v>431</v>
      </c>
      <c r="D197" s="36">
        <v>5205</v>
      </c>
      <c r="E197" s="38">
        <f t="shared" si="46"/>
        <v>10006</v>
      </c>
      <c r="F197" s="38">
        <f t="shared" si="46"/>
        <v>10006</v>
      </c>
      <c r="G197" s="38">
        <f t="shared" si="46"/>
        <v>0</v>
      </c>
      <c r="H197" s="38">
        <v>0</v>
      </c>
      <c r="I197" s="38">
        <v>0</v>
      </c>
      <c r="J197" s="38">
        <f t="shared" si="47"/>
        <v>0</v>
      </c>
      <c r="K197" s="38">
        <v>0</v>
      </c>
      <c r="L197" s="38">
        <v>0</v>
      </c>
      <c r="M197" s="38">
        <f t="shared" si="48"/>
        <v>0</v>
      </c>
      <c r="N197" s="38">
        <v>0</v>
      </c>
      <c r="O197" s="38">
        <v>0</v>
      </c>
      <c r="P197" s="38">
        <f t="shared" si="49"/>
        <v>0</v>
      </c>
      <c r="Q197" s="38">
        <v>0</v>
      </c>
      <c r="R197" s="38">
        <v>0</v>
      </c>
      <c r="S197" s="38">
        <f t="shared" si="50"/>
        <v>0</v>
      </c>
      <c r="T197" s="38">
        <v>10006</v>
      </c>
      <c r="U197" s="38">
        <v>10006</v>
      </c>
      <c r="V197" s="38">
        <f t="shared" si="51"/>
        <v>0</v>
      </c>
      <c r="W197" s="38">
        <v>0</v>
      </c>
      <c r="X197" s="38">
        <v>0</v>
      </c>
      <c r="Y197" s="38">
        <f t="shared" si="52"/>
        <v>0</v>
      </c>
      <c r="Z197" s="38">
        <v>0</v>
      </c>
      <c r="AA197" s="38">
        <v>0</v>
      </c>
      <c r="AB197" s="38">
        <f t="shared" si="53"/>
        <v>0</v>
      </c>
      <c r="AC197" s="38">
        <v>0</v>
      </c>
      <c r="AD197" s="38">
        <v>0</v>
      </c>
      <c r="AE197" s="38">
        <f t="shared" si="54"/>
        <v>0</v>
      </c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</row>
    <row r="198" spans="1:255" ht="31.5" x14ac:dyDescent="0.25">
      <c r="A198" s="26" t="s">
        <v>69</v>
      </c>
      <c r="B198" s="34"/>
      <c r="C198" s="34"/>
      <c r="D198" s="34"/>
      <c r="E198" s="27">
        <f t="shared" si="46"/>
        <v>501360</v>
      </c>
      <c r="F198" s="27">
        <f t="shared" si="46"/>
        <v>527920</v>
      </c>
      <c r="G198" s="27">
        <f t="shared" si="46"/>
        <v>26560</v>
      </c>
      <c r="H198" s="27">
        <f>SUM(H199,H203,H223,H227,H234)</f>
        <v>0</v>
      </c>
      <c r="I198" s="27">
        <f>SUM(I199,I203,I223,I227,I234)</f>
        <v>0</v>
      </c>
      <c r="J198" s="27">
        <f t="shared" si="47"/>
        <v>0</v>
      </c>
      <c r="K198" s="27">
        <f>SUM(K199,K203,K223,K227,K234)</f>
        <v>0</v>
      </c>
      <c r="L198" s="27">
        <f>SUM(L199,L203,L223,L227,L234)</f>
        <v>0</v>
      </c>
      <c r="M198" s="27">
        <f t="shared" si="48"/>
        <v>0</v>
      </c>
      <c r="N198" s="27">
        <f>SUM(N199,N203,N223,N227,N234)</f>
        <v>55918</v>
      </c>
      <c r="O198" s="27">
        <f>SUM(O199,O203,O223,O227,O234)</f>
        <v>73644</v>
      </c>
      <c r="P198" s="27">
        <f t="shared" si="49"/>
        <v>17726</v>
      </c>
      <c r="Q198" s="27">
        <f>SUM(Q199,Q203,Q223,Q227,Q234)</f>
        <v>114886</v>
      </c>
      <c r="R198" s="27">
        <f>SUM(R199,R203,R223,R227,R234)</f>
        <v>115982</v>
      </c>
      <c r="S198" s="27">
        <f t="shared" si="50"/>
        <v>1096</v>
      </c>
      <c r="T198" s="27">
        <f>SUM(T199,T203,T223,T227,T234)</f>
        <v>150975</v>
      </c>
      <c r="U198" s="27">
        <f>SUM(U199,U203,U223,U227,U234)</f>
        <v>158713</v>
      </c>
      <c r="V198" s="27">
        <f t="shared" si="51"/>
        <v>7738</v>
      </c>
      <c r="W198" s="27">
        <f>SUM(W199,W203,W223,W227,W234)</f>
        <v>0</v>
      </c>
      <c r="X198" s="27">
        <f>SUM(X199,X203,X223,X227,X234)</f>
        <v>0</v>
      </c>
      <c r="Y198" s="27">
        <f t="shared" si="52"/>
        <v>0</v>
      </c>
      <c r="Z198" s="27">
        <f>SUM(Z199,Z203,Z223,Z227,Z234)</f>
        <v>30692</v>
      </c>
      <c r="AA198" s="27">
        <f>SUM(AA199,AA203,AA223,AA227,AA234)</f>
        <v>30692</v>
      </c>
      <c r="AB198" s="27">
        <f t="shared" si="53"/>
        <v>0</v>
      </c>
      <c r="AC198" s="27">
        <f>SUM(AC199,AC203,AC223,AC227,AC234)</f>
        <v>148889</v>
      </c>
      <c r="AD198" s="27">
        <f>SUM(AD199,AD203,AD223,AD227,AD234)</f>
        <v>148889</v>
      </c>
      <c r="AE198" s="27">
        <f t="shared" si="54"/>
        <v>0</v>
      </c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</row>
    <row r="199" spans="1:255" x14ac:dyDescent="0.25">
      <c r="A199" s="26" t="s">
        <v>110</v>
      </c>
      <c r="B199" s="34"/>
      <c r="C199" s="34"/>
      <c r="D199" s="34"/>
      <c r="E199" s="27">
        <f t="shared" si="46"/>
        <v>10808</v>
      </c>
      <c r="F199" s="27">
        <f t="shared" si="46"/>
        <v>10808</v>
      </c>
      <c r="G199" s="27">
        <f t="shared" si="46"/>
        <v>0</v>
      </c>
      <c r="H199" s="27">
        <f>SUM(H200:H202)</f>
        <v>0</v>
      </c>
      <c r="I199" s="27">
        <f>SUM(I200:I202)</f>
        <v>0</v>
      </c>
      <c r="J199" s="27">
        <f t="shared" si="47"/>
        <v>0</v>
      </c>
      <c r="K199" s="27">
        <f>SUM(K200:K202)</f>
        <v>0</v>
      </c>
      <c r="L199" s="27">
        <f>SUM(L200:L202)</f>
        <v>0</v>
      </c>
      <c r="M199" s="27">
        <f t="shared" si="48"/>
        <v>0</v>
      </c>
      <c r="N199" s="27">
        <f>SUM(N200:N202)</f>
        <v>9297</v>
      </c>
      <c r="O199" s="27">
        <f>SUM(O200:O202)</f>
        <v>9297</v>
      </c>
      <c r="P199" s="27">
        <f t="shared" si="49"/>
        <v>0</v>
      </c>
      <c r="Q199" s="27">
        <f>SUM(Q200:Q202)</f>
        <v>1511</v>
      </c>
      <c r="R199" s="27">
        <f>SUM(R200:R202)</f>
        <v>1511</v>
      </c>
      <c r="S199" s="27">
        <f t="shared" si="50"/>
        <v>0</v>
      </c>
      <c r="T199" s="27">
        <f>SUM(T200:T202)</f>
        <v>0</v>
      </c>
      <c r="U199" s="27">
        <f>SUM(U200:U202)</f>
        <v>0</v>
      </c>
      <c r="V199" s="27">
        <f t="shared" si="51"/>
        <v>0</v>
      </c>
      <c r="W199" s="27">
        <f>SUM(W200:W202)</f>
        <v>0</v>
      </c>
      <c r="X199" s="27">
        <f>SUM(X200:X202)</f>
        <v>0</v>
      </c>
      <c r="Y199" s="27">
        <f t="shared" si="52"/>
        <v>0</v>
      </c>
      <c r="Z199" s="27">
        <f>SUM(Z200:Z202)</f>
        <v>0</v>
      </c>
      <c r="AA199" s="27">
        <f>SUM(AA200:AA202)</f>
        <v>0</v>
      </c>
      <c r="AB199" s="27">
        <f t="shared" si="53"/>
        <v>0</v>
      </c>
      <c r="AC199" s="27">
        <f>SUM(AC200:AC202)</f>
        <v>0</v>
      </c>
      <c r="AD199" s="27">
        <f>SUM(AD200:AD202)</f>
        <v>0</v>
      </c>
      <c r="AE199" s="27">
        <f t="shared" si="54"/>
        <v>0</v>
      </c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</row>
    <row r="200" spans="1:255" ht="31.5" x14ac:dyDescent="0.25">
      <c r="A200" s="35" t="s">
        <v>189</v>
      </c>
      <c r="B200" s="40">
        <v>2</v>
      </c>
      <c r="C200" s="40">
        <v>524</v>
      </c>
      <c r="D200" s="40">
        <v>5201</v>
      </c>
      <c r="E200" s="38">
        <f t="shared" si="46"/>
        <v>1367</v>
      </c>
      <c r="F200" s="38">
        <f t="shared" si="46"/>
        <v>1367</v>
      </c>
      <c r="G200" s="38">
        <f t="shared" si="46"/>
        <v>0</v>
      </c>
      <c r="H200" s="38">
        <v>0</v>
      </c>
      <c r="I200" s="38">
        <v>0</v>
      </c>
      <c r="J200" s="38">
        <f t="shared" si="47"/>
        <v>0</v>
      </c>
      <c r="K200" s="38">
        <v>0</v>
      </c>
      <c r="L200" s="38">
        <v>0</v>
      </c>
      <c r="M200" s="38">
        <f t="shared" si="48"/>
        <v>0</v>
      </c>
      <c r="N200" s="38">
        <v>1367</v>
      </c>
      <c r="O200" s="38">
        <v>1367</v>
      </c>
      <c r="P200" s="38">
        <f t="shared" si="49"/>
        <v>0</v>
      </c>
      <c r="Q200" s="38">
        <v>0</v>
      </c>
      <c r="R200" s="38">
        <v>0</v>
      </c>
      <c r="S200" s="38">
        <f t="shared" si="50"/>
        <v>0</v>
      </c>
      <c r="T200" s="38">
        <v>0</v>
      </c>
      <c r="U200" s="38">
        <v>0</v>
      </c>
      <c r="V200" s="38">
        <f t="shared" si="51"/>
        <v>0</v>
      </c>
      <c r="W200" s="38">
        <v>0</v>
      </c>
      <c r="X200" s="38">
        <v>0</v>
      </c>
      <c r="Y200" s="38">
        <f t="shared" si="52"/>
        <v>0</v>
      </c>
      <c r="Z200" s="38">
        <v>0</v>
      </c>
      <c r="AA200" s="38">
        <v>0</v>
      </c>
      <c r="AB200" s="38">
        <f t="shared" si="53"/>
        <v>0</v>
      </c>
      <c r="AC200" s="38">
        <v>0</v>
      </c>
      <c r="AD200" s="38">
        <v>0</v>
      </c>
      <c r="AE200" s="38">
        <f t="shared" si="54"/>
        <v>0</v>
      </c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</row>
    <row r="201" spans="1:255" ht="78.75" x14ac:dyDescent="0.25">
      <c r="A201" s="35" t="s">
        <v>190</v>
      </c>
      <c r="B201" s="40">
        <v>2</v>
      </c>
      <c r="C201" s="40">
        <v>525</v>
      </c>
      <c r="D201" s="40">
        <v>5201</v>
      </c>
      <c r="E201" s="38">
        <f t="shared" si="46"/>
        <v>7930</v>
      </c>
      <c r="F201" s="38">
        <f t="shared" si="46"/>
        <v>7930</v>
      </c>
      <c r="G201" s="38">
        <f t="shared" si="46"/>
        <v>0</v>
      </c>
      <c r="H201" s="38">
        <v>0</v>
      </c>
      <c r="I201" s="38">
        <v>0</v>
      </c>
      <c r="J201" s="38">
        <f t="shared" si="47"/>
        <v>0</v>
      </c>
      <c r="K201" s="38">
        <v>0</v>
      </c>
      <c r="L201" s="38">
        <v>0</v>
      </c>
      <c r="M201" s="38">
        <f t="shared" si="48"/>
        <v>0</v>
      </c>
      <c r="N201" s="38">
        <v>7930</v>
      </c>
      <c r="O201" s="38">
        <v>7930</v>
      </c>
      <c r="P201" s="38">
        <f t="shared" si="49"/>
        <v>0</v>
      </c>
      <c r="Q201" s="38">
        <v>0</v>
      </c>
      <c r="R201" s="38">
        <v>0</v>
      </c>
      <c r="S201" s="38">
        <f t="shared" si="50"/>
        <v>0</v>
      </c>
      <c r="T201" s="38">
        <v>0</v>
      </c>
      <c r="U201" s="38">
        <v>0</v>
      </c>
      <c r="V201" s="38">
        <f t="shared" si="51"/>
        <v>0</v>
      </c>
      <c r="W201" s="38">
        <v>0</v>
      </c>
      <c r="X201" s="38">
        <v>0</v>
      </c>
      <c r="Y201" s="38">
        <f t="shared" si="52"/>
        <v>0</v>
      </c>
      <c r="Z201" s="38">
        <v>0</v>
      </c>
      <c r="AA201" s="38">
        <v>0</v>
      </c>
      <c r="AB201" s="38">
        <f t="shared" si="53"/>
        <v>0</v>
      </c>
      <c r="AC201" s="38">
        <v>0</v>
      </c>
      <c r="AD201" s="38">
        <v>0</v>
      </c>
      <c r="AE201" s="38">
        <f t="shared" si="54"/>
        <v>0</v>
      </c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</row>
    <row r="202" spans="1:255" ht="94.5" x14ac:dyDescent="0.25">
      <c r="A202" s="42" t="s">
        <v>191</v>
      </c>
      <c r="B202" s="36"/>
      <c r="C202" s="36"/>
      <c r="D202" s="36"/>
      <c r="E202" s="31">
        <f t="shared" si="46"/>
        <v>1511</v>
      </c>
      <c r="F202" s="31">
        <f t="shared" si="46"/>
        <v>1511</v>
      </c>
      <c r="G202" s="31">
        <f t="shared" si="46"/>
        <v>0</v>
      </c>
      <c r="H202" s="31">
        <v>0</v>
      </c>
      <c r="I202" s="31">
        <v>0</v>
      </c>
      <c r="J202" s="31">
        <f t="shared" si="47"/>
        <v>0</v>
      </c>
      <c r="K202" s="31">
        <v>0</v>
      </c>
      <c r="L202" s="31">
        <v>0</v>
      </c>
      <c r="M202" s="31">
        <f t="shared" si="48"/>
        <v>0</v>
      </c>
      <c r="N202" s="31">
        <v>0</v>
      </c>
      <c r="O202" s="31">
        <v>0</v>
      </c>
      <c r="P202" s="31">
        <f t="shared" si="49"/>
        <v>0</v>
      </c>
      <c r="Q202" s="31">
        <v>1511</v>
      </c>
      <c r="R202" s="31">
        <v>1511</v>
      </c>
      <c r="S202" s="31">
        <f t="shared" si="50"/>
        <v>0</v>
      </c>
      <c r="T202" s="31">
        <v>0</v>
      </c>
      <c r="U202" s="31">
        <v>0</v>
      </c>
      <c r="V202" s="31">
        <f t="shared" si="51"/>
        <v>0</v>
      </c>
      <c r="W202" s="31">
        <v>0</v>
      </c>
      <c r="X202" s="31">
        <v>0</v>
      </c>
      <c r="Y202" s="31">
        <f t="shared" si="52"/>
        <v>0</v>
      </c>
      <c r="Z202" s="31">
        <v>0</v>
      </c>
      <c r="AA202" s="31">
        <v>0</v>
      </c>
      <c r="AB202" s="31">
        <f t="shared" si="53"/>
        <v>0</v>
      </c>
      <c r="AC202" s="31">
        <v>0</v>
      </c>
      <c r="AD202" s="31">
        <v>0</v>
      </c>
      <c r="AE202" s="31">
        <f t="shared" si="54"/>
        <v>0</v>
      </c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</row>
    <row r="203" spans="1:255" ht="31.5" x14ac:dyDescent="0.25">
      <c r="A203" s="26" t="s">
        <v>118</v>
      </c>
      <c r="B203" s="34"/>
      <c r="C203" s="34"/>
      <c r="D203" s="34"/>
      <c r="E203" s="27">
        <f t="shared" si="46"/>
        <v>256776</v>
      </c>
      <c r="F203" s="27">
        <f t="shared" si="46"/>
        <v>282034</v>
      </c>
      <c r="G203" s="27">
        <f t="shared" si="46"/>
        <v>25258</v>
      </c>
      <c r="H203" s="27">
        <f>SUM(H204:H222)</f>
        <v>0</v>
      </c>
      <c r="I203" s="27">
        <f>SUM(I204:I222)</f>
        <v>0</v>
      </c>
      <c r="J203" s="27">
        <f t="shared" si="47"/>
        <v>0</v>
      </c>
      <c r="K203" s="27">
        <f>SUM(K204:K222)</f>
        <v>0</v>
      </c>
      <c r="L203" s="27">
        <f>SUM(L204:L222)</f>
        <v>0</v>
      </c>
      <c r="M203" s="27">
        <f t="shared" si="48"/>
        <v>0</v>
      </c>
      <c r="N203" s="27">
        <f>SUM(N204:N222)</f>
        <v>38463</v>
      </c>
      <c r="O203" s="27">
        <f>SUM(O204:O222)</f>
        <v>56189</v>
      </c>
      <c r="P203" s="27">
        <f t="shared" si="49"/>
        <v>17726</v>
      </c>
      <c r="Q203" s="27">
        <f>SUM(Q204:Q222)</f>
        <v>107811</v>
      </c>
      <c r="R203" s="27">
        <f>SUM(R204:R222)</f>
        <v>107811</v>
      </c>
      <c r="S203" s="27">
        <f t="shared" si="50"/>
        <v>0</v>
      </c>
      <c r="T203" s="27">
        <f>SUM(T204:T222)</f>
        <v>110502</v>
      </c>
      <c r="U203" s="27">
        <f>SUM(U204:U222)</f>
        <v>118034</v>
      </c>
      <c r="V203" s="27">
        <f t="shared" si="51"/>
        <v>7532</v>
      </c>
      <c r="W203" s="27">
        <f>SUM(W204:W222)</f>
        <v>0</v>
      </c>
      <c r="X203" s="27">
        <f>SUM(X204:X222)</f>
        <v>0</v>
      </c>
      <c r="Y203" s="27">
        <f t="shared" si="52"/>
        <v>0</v>
      </c>
      <c r="Z203" s="27">
        <f>SUM(Z204:Z222)</f>
        <v>0</v>
      </c>
      <c r="AA203" s="27">
        <f>SUM(AA204:AA222)</f>
        <v>0</v>
      </c>
      <c r="AB203" s="27">
        <f t="shared" si="53"/>
        <v>0</v>
      </c>
      <c r="AC203" s="27">
        <f>SUM(AC204:AC222)</f>
        <v>0</v>
      </c>
      <c r="AD203" s="27">
        <f>SUM(AD204:AD222)</f>
        <v>0</v>
      </c>
      <c r="AE203" s="27">
        <f t="shared" si="54"/>
        <v>0</v>
      </c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</row>
    <row r="204" spans="1:255" ht="31.5" x14ac:dyDescent="0.25">
      <c r="A204" s="42" t="s">
        <v>192</v>
      </c>
      <c r="B204" s="40">
        <v>1</v>
      </c>
      <c r="C204" s="40">
        <v>530</v>
      </c>
      <c r="D204" s="40">
        <v>5203</v>
      </c>
      <c r="E204" s="45">
        <f t="shared" ref="E204:G272" si="63">H204+K204+N204+Q204+T204+W204+Z204+AC204</f>
        <v>3500</v>
      </c>
      <c r="F204" s="45">
        <f t="shared" si="63"/>
        <v>3500</v>
      </c>
      <c r="G204" s="45">
        <f t="shared" si="63"/>
        <v>0</v>
      </c>
      <c r="H204" s="45">
        <v>0</v>
      </c>
      <c r="I204" s="45">
        <v>0</v>
      </c>
      <c r="J204" s="45">
        <f t="shared" ref="J204:J272" si="64">I204-H204</f>
        <v>0</v>
      </c>
      <c r="K204" s="45">
        <v>0</v>
      </c>
      <c r="L204" s="45">
        <v>0</v>
      </c>
      <c r="M204" s="45">
        <f t="shared" ref="M204:M272" si="65">L204-K204</f>
        <v>0</v>
      </c>
      <c r="N204" s="45">
        <v>0</v>
      </c>
      <c r="O204" s="45">
        <v>0</v>
      </c>
      <c r="P204" s="45">
        <f t="shared" ref="P204:P272" si="66">O204-N204</f>
        <v>0</v>
      </c>
      <c r="Q204" s="45">
        <v>0</v>
      </c>
      <c r="R204" s="45">
        <v>0</v>
      </c>
      <c r="S204" s="45">
        <f t="shared" ref="S204:S272" si="67">R204-Q204</f>
        <v>0</v>
      </c>
      <c r="T204" s="45">
        <v>3500</v>
      </c>
      <c r="U204" s="45">
        <v>3500</v>
      </c>
      <c r="V204" s="45">
        <f t="shared" ref="V204:V272" si="68">U204-T204</f>
        <v>0</v>
      </c>
      <c r="W204" s="45">
        <v>0</v>
      </c>
      <c r="X204" s="45">
        <v>0</v>
      </c>
      <c r="Y204" s="45">
        <f t="shared" ref="Y204:Y272" si="69">X204-W204</f>
        <v>0</v>
      </c>
      <c r="Z204" s="45">
        <v>0</v>
      </c>
      <c r="AA204" s="45">
        <v>0</v>
      </c>
      <c r="AB204" s="45">
        <f t="shared" ref="AB204:AB272" si="70">AA204-Z204</f>
        <v>0</v>
      </c>
      <c r="AC204" s="45">
        <v>0</v>
      </c>
      <c r="AD204" s="45">
        <v>0</v>
      </c>
      <c r="AE204" s="45">
        <f t="shared" ref="AE204:AE272" si="71">AD204-AC204</f>
        <v>0</v>
      </c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</row>
    <row r="205" spans="1:255" ht="31.5" x14ac:dyDescent="0.25">
      <c r="A205" s="42" t="s">
        <v>193</v>
      </c>
      <c r="B205" s="43" t="s">
        <v>46</v>
      </c>
      <c r="C205" s="40">
        <v>529</v>
      </c>
      <c r="D205" s="40">
        <v>5203</v>
      </c>
      <c r="E205" s="45">
        <f t="shared" si="63"/>
        <v>23387</v>
      </c>
      <c r="F205" s="45">
        <f t="shared" si="63"/>
        <v>23387</v>
      </c>
      <c r="G205" s="45">
        <f t="shared" si="63"/>
        <v>0</v>
      </c>
      <c r="H205" s="45">
        <v>0</v>
      </c>
      <c r="I205" s="45">
        <v>0</v>
      </c>
      <c r="J205" s="45">
        <f t="shared" si="64"/>
        <v>0</v>
      </c>
      <c r="K205" s="45">
        <v>0</v>
      </c>
      <c r="L205" s="45">
        <v>0</v>
      </c>
      <c r="M205" s="45">
        <f t="shared" si="65"/>
        <v>0</v>
      </c>
      <c r="N205" s="45">
        <f>23387-14137</f>
        <v>9250</v>
      </c>
      <c r="O205" s="45">
        <f>23387-14137</f>
        <v>9250</v>
      </c>
      <c r="P205" s="45">
        <f t="shared" si="66"/>
        <v>0</v>
      </c>
      <c r="Q205" s="45">
        <v>0</v>
      </c>
      <c r="R205" s="45">
        <v>0</v>
      </c>
      <c r="S205" s="45">
        <f t="shared" si="67"/>
        <v>0</v>
      </c>
      <c r="T205" s="45">
        <v>14137</v>
      </c>
      <c r="U205" s="45">
        <v>14137</v>
      </c>
      <c r="V205" s="45">
        <f t="shared" si="68"/>
        <v>0</v>
      </c>
      <c r="W205" s="45">
        <v>0</v>
      </c>
      <c r="X205" s="45">
        <v>0</v>
      </c>
      <c r="Y205" s="45">
        <f t="shared" si="69"/>
        <v>0</v>
      </c>
      <c r="Z205" s="45">
        <v>0</v>
      </c>
      <c r="AA205" s="45">
        <v>0</v>
      </c>
      <c r="AB205" s="45">
        <f t="shared" si="70"/>
        <v>0</v>
      </c>
      <c r="AC205" s="45">
        <v>0</v>
      </c>
      <c r="AD205" s="45">
        <v>0</v>
      </c>
      <c r="AE205" s="45">
        <f t="shared" si="71"/>
        <v>0</v>
      </c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</row>
    <row r="206" spans="1:255" ht="31.5" x14ac:dyDescent="0.25">
      <c r="A206" s="42" t="s">
        <v>194</v>
      </c>
      <c r="B206" s="36">
        <v>1</v>
      </c>
      <c r="C206" s="36">
        <v>540</v>
      </c>
      <c r="D206" s="36">
        <v>5203</v>
      </c>
      <c r="E206" s="31">
        <f t="shared" si="63"/>
        <v>14998</v>
      </c>
      <c r="F206" s="31">
        <f t="shared" si="63"/>
        <v>14998</v>
      </c>
      <c r="G206" s="31">
        <f t="shared" si="63"/>
        <v>0</v>
      </c>
      <c r="H206" s="31">
        <v>0</v>
      </c>
      <c r="I206" s="31">
        <v>0</v>
      </c>
      <c r="J206" s="31">
        <f t="shared" si="64"/>
        <v>0</v>
      </c>
      <c r="K206" s="31">
        <v>0</v>
      </c>
      <c r="L206" s="31">
        <v>0</v>
      </c>
      <c r="M206" s="31">
        <f t="shared" si="65"/>
        <v>0</v>
      </c>
      <c r="N206" s="31">
        <v>0</v>
      </c>
      <c r="O206" s="31">
        <v>0</v>
      </c>
      <c r="P206" s="31">
        <f t="shared" si="66"/>
        <v>0</v>
      </c>
      <c r="Q206" s="31">
        <v>0</v>
      </c>
      <c r="R206" s="31">
        <v>0</v>
      </c>
      <c r="S206" s="31">
        <f t="shared" si="67"/>
        <v>0</v>
      </c>
      <c r="T206" s="31">
        <v>14998</v>
      </c>
      <c r="U206" s="31">
        <v>14998</v>
      </c>
      <c r="V206" s="31">
        <f t="shared" si="68"/>
        <v>0</v>
      </c>
      <c r="W206" s="31">
        <v>0</v>
      </c>
      <c r="X206" s="31">
        <v>0</v>
      </c>
      <c r="Y206" s="31">
        <f t="shared" si="69"/>
        <v>0</v>
      </c>
      <c r="Z206" s="31">
        <v>0</v>
      </c>
      <c r="AA206" s="31">
        <v>0</v>
      </c>
      <c r="AB206" s="31">
        <f t="shared" si="70"/>
        <v>0</v>
      </c>
      <c r="AC206" s="31">
        <v>0</v>
      </c>
      <c r="AD206" s="31">
        <v>0</v>
      </c>
      <c r="AE206" s="31">
        <f t="shared" si="71"/>
        <v>0</v>
      </c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</row>
    <row r="207" spans="1:255" ht="31.5" x14ac:dyDescent="0.25">
      <c r="A207" s="35" t="s">
        <v>195</v>
      </c>
      <c r="B207" s="40">
        <v>2</v>
      </c>
      <c r="C207" s="40">
        <v>525</v>
      </c>
      <c r="D207" s="36">
        <v>5203</v>
      </c>
      <c r="E207" s="38">
        <f t="shared" si="63"/>
        <v>0</v>
      </c>
      <c r="F207" s="38">
        <f t="shared" si="63"/>
        <v>3121</v>
      </c>
      <c r="G207" s="38">
        <f t="shared" si="63"/>
        <v>3121</v>
      </c>
      <c r="H207" s="38">
        <v>0</v>
      </c>
      <c r="I207" s="38">
        <v>0</v>
      </c>
      <c r="J207" s="38">
        <f t="shared" si="64"/>
        <v>0</v>
      </c>
      <c r="K207" s="38">
        <v>0</v>
      </c>
      <c r="L207" s="38">
        <v>0</v>
      </c>
      <c r="M207" s="38">
        <f t="shared" si="65"/>
        <v>0</v>
      </c>
      <c r="N207" s="38">
        <v>0</v>
      </c>
      <c r="O207" s="38">
        <v>3121</v>
      </c>
      <c r="P207" s="38">
        <f t="shared" si="66"/>
        <v>3121</v>
      </c>
      <c r="Q207" s="38">
        <v>0</v>
      </c>
      <c r="R207" s="38">
        <v>0</v>
      </c>
      <c r="S207" s="38">
        <f t="shared" si="67"/>
        <v>0</v>
      </c>
      <c r="T207" s="38">
        <v>0</v>
      </c>
      <c r="U207" s="38">
        <v>0</v>
      </c>
      <c r="V207" s="38">
        <f t="shared" si="68"/>
        <v>0</v>
      </c>
      <c r="W207" s="38">
        <v>0</v>
      </c>
      <c r="X207" s="38">
        <v>0</v>
      </c>
      <c r="Y207" s="38">
        <f t="shared" si="69"/>
        <v>0</v>
      </c>
      <c r="Z207" s="38">
        <v>0</v>
      </c>
      <c r="AA207" s="38">
        <v>0</v>
      </c>
      <c r="AB207" s="38">
        <f t="shared" si="70"/>
        <v>0</v>
      </c>
      <c r="AC207" s="38">
        <v>0</v>
      </c>
      <c r="AD207" s="38">
        <v>0</v>
      </c>
      <c r="AE207" s="38">
        <f t="shared" si="71"/>
        <v>0</v>
      </c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</row>
    <row r="208" spans="1:255" ht="31.5" x14ac:dyDescent="0.25">
      <c r="A208" s="35" t="s">
        <v>196</v>
      </c>
      <c r="B208" s="40">
        <v>2</v>
      </c>
      <c r="C208" s="40">
        <v>525</v>
      </c>
      <c r="D208" s="36">
        <v>5203</v>
      </c>
      <c r="E208" s="38">
        <f t="shared" si="63"/>
        <v>0</v>
      </c>
      <c r="F208" s="38">
        <f t="shared" si="63"/>
        <v>9114</v>
      </c>
      <c r="G208" s="38">
        <f t="shared" si="63"/>
        <v>9114</v>
      </c>
      <c r="H208" s="38">
        <v>0</v>
      </c>
      <c r="I208" s="38">
        <v>0</v>
      </c>
      <c r="J208" s="38">
        <f t="shared" si="64"/>
        <v>0</v>
      </c>
      <c r="K208" s="38">
        <v>0</v>
      </c>
      <c r="L208" s="38">
        <v>0</v>
      </c>
      <c r="M208" s="38">
        <f t="shared" si="65"/>
        <v>0</v>
      </c>
      <c r="N208" s="38">
        <v>0</v>
      </c>
      <c r="O208" s="38">
        <v>9114</v>
      </c>
      <c r="P208" s="38">
        <f t="shared" si="66"/>
        <v>9114</v>
      </c>
      <c r="Q208" s="38">
        <v>0</v>
      </c>
      <c r="R208" s="38">
        <v>0</v>
      </c>
      <c r="S208" s="38">
        <f t="shared" si="67"/>
        <v>0</v>
      </c>
      <c r="T208" s="38">
        <v>0</v>
      </c>
      <c r="U208" s="38">
        <v>0</v>
      </c>
      <c r="V208" s="38">
        <f t="shared" si="68"/>
        <v>0</v>
      </c>
      <c r="W208" s="38">
        <v>0</v>
      </c>
      <c r="X208" s="38">
        <v>0</v>
      </c>
      <c r="Y208" s="38">
        <f t="shared" si="69"/>
        <v>0</v>
      </c>
      <c r="Z208" s="38">
        <v>0</v>
      </c>
      <c r="AA208" s="38">
        <v>0</v>
      </c>
      <c r="AB208" s="38">
        <f t="shared" si="70"/>
        <v>0</v>
      </c>
      <c r="AC208" s="38">
        <v>0</v>
      </c>
      <c r="AD208" s="38">
        <v>0</v>
      </c>
      <c r="AE208" s="38">
        <f t="shared" si="71"/>
        <v>0</v>
      </c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</row>
    <row r="209" spans="1:255" ht="47.25" x14ac:dyDescent="0.25">
      <c r="A209" s="35" t="s">
        <v>197</v>
      </c>
      <c r="B209" s="40">
        <v>2</v>
      </c>
      <c r="C209" s="40">
        <v>525</v>
      </c>
      <c r="D209" s="36">
        <v>5203</v>
      </c>
      <c r="E209" s="38">
        <f t="shared" si="63"/>
        <v>0</v>
      </c>
      <c r="F209" s="38">
        <f t="shared" si="63"/>
        <v>3804</v>
      </c>
      <c r="G209" s="38">
        <f t="shared" si="63"/>
        <v>3804</v>
      </c>
      <c r="H209" s="38">
        <v>0</v>
      </c>
      <c r="I209" s="38">
        <v>0</v>
      </c>
      <c r="J209" s="38">
        <f t="shared" si="64"/>
        <v>0</v>
      </c>
      <c r="K209" s="38">
        <v>0</v>
      </c>
      <c r="L209" s="38">
        <v>0</v>
      </c>
      <c r="M209" s="38">
        <f t="shared" si="65"/>
        <v>0</v>
      </c>
      <c r="N209" s="38">
        <v>0</v>
      </c>
      <c r="O209" s="38">
        <v>3804</v>
      </c>
      <c r="P209" s="38">
        <f t="shared" si="66"/>
        <v>3804</v>
      </c>
      <c r="Q209" s="38">
        <v>0</v>
      </c>
      <c r="R209" s="38">
        <v>0</v>
      </c>
      <c r="S209" s="38">
        <f t="shared" si="67"/>
        <v>0</v>
      </c>
      <c r="T209" s="38">
        <v>0</v>
      </c>
      <c r="U209" s="38">
        <v>0</v>
      </c>
      <c r="V209" s="38">
        <f t="shared" si="68"/>
        <v>0</v>
      </c>
      <c r="W209" s="38">
        <v>0</v>
      </c>
      <c r="X209" s="38">
        <v>0</v>
      </c>
      <c r="Y209" s="38">
        <f t="shared" si="69"/>
        <v>0</v>
      </c>
      <c r="Z209" s="38">
        <v>0</v>
      </c>
      <c r="AA209" s="38">
        <v>0</v>
      </c>
      <c r="AB209" s="38">
        <f t="shared" si="70"/>
        <v>0</v>
      </c>
      <c r="AC209" s="38">
        <v>0</v>
      </c>
      <c r="AD209" s="38">
        <v>0</v>
      </c>
      <c r="AE209" s="38">
        <f t="shared" si="71"/>
        <v>0</v>
      </c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</row>
    <row r="210" spans="1:255" ht="47.25" x14ac:dyDescent="0.25">
      <c r="A210" s="35" t="s">
        <v>198</v>
      </c>
      <c r="B210" s="40">
        <v>2</v>
      </c>
      <c r="C210" s="40">
        <v>525</v>
      </c>
      <c r="D210" s="36">
        <v>5203</v>
      </c>
      <c r="E210" s="38">
        <f t="shared" si="63"/>
        <v>9682</v>
      </c>
      <c r="F210" s="38">
        <f t="shared" si="63"/>
        <v>10603</v>
      </c>
      <c r="G210" s="38">
        <f t="shared" si="63"/>
        <v>921</v>
      </c>
      <c r="H210" s="38">
        <v>0</v>
      </c>
      <c r="I210" s="38">
        <v>0</v>
      </c>
      <c r="J210" s="38">
        <f t="shared" si="64"/>
        <v>0</v>
      </c>
      <c r="K210" s="38">
        <v>0</v>
      </c>
      <c r="L210" s="38">
        <v>0</v>
      </c>
      <c r="M210" s="38">
        <f t="shared" si="65"/>
        <v>0</v>
      </c>
      <c r="N210" s="38">
        <v>9682</v>
      </c>
      <c r="O210" s="38">
        <f>9682+921</f>
        <v>10603</v>
      </c>
      <c r="P210" s="38">
        <f t="shared" si="66"/>
        <v>921</v>
      </c>
      <c r="Q210" s="38">
        <v>0</v>
      </c>
      <c r="R210" s="38">
        <v>0</v>
      </c>
      <c r="S210" s="38">
        <f t="shared" si="67"/>
        <v>0</v>
      </c>
      <c r="T210" s="38">
        <v>0</v>
      </c>
      <c r="U210" s="38">
        <v>0</v>
      </c>
      <c r="V210" s="38">
        <f t="shared" si="68"/>
        <v>0</v>
      </c>
      <c r="W210" s="38">
        <v>0</v>
      </c>
      <c r="X210" s="38">
        <v>0</v>
      </c>
      <c r="Y210" s="38">
        <f t="shared" si="69"/>
        <v>0</v>
      </c>
      <c r="Z210" s="38">
        <v>0</v>
      </c>
      <c r="AA210" s="38">
        <v>0</v>
      </c>
      <c r="AB210" s="38">
        <f t="shared" si="70"/>
        <v>0</v>
      </c>
      <c r="AC210" s="38">
        <v>0</v>
      </c>
      <c r="AD210" s="38">
        <v>0</v>
      </c>
      <c r="AE210" s="38">
        <f t="shared" si="71"/>
        <v>0</v>
      </c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</row>
    <row r="211" spans="1:255" ht="47.25" x14ac:dyDescent="0.25">
      <c r="A211" s="35" t="s">
        <v>199</v>
      </c>
      <c r="B211" s="40">
        <v>2</v>
      </c>
      <c r="C211" s="40">
        <v>525</v>
      </c>
      <c r="D211" s="36">
        <v>5203</v>
      </c>
      <c r="E211" s="38">
        <f t="shared" si="63"/>
        <v>15148</v>
      </c>
      <c r="F211" s="38">
        <f t="shared" si="63"/>
        <v>15914</v>
      </c>
      <c r="G211" s="38">
        <f t="shared" si="63"/>
        <v>766</v>
      </c>
      <c r="H211" s="38">
        <v>0</v>
      </c>
      <c r="I211" s="38">
        <v>0</v>
      </c>
      <c r="J211" s="38">
        <f t="shared" si="64"/>
        <v>0</v>
      </c>
      <c r="K211" s="38">
        <v>0</v>
      </c>
      <c r="L211" s="38">
        <v>0</v>
      </c>
      <c r="M211" s="38">
        <f t="shared" si="65"/>
        <v>0</v>
      </c>
      <c r="N211" s="38">
        <v>15148</v>
      </c>
      <c r="O211" s="38">
        <f>15148+766</f>
        <v>15914</v>
      </c>
      <c r="P211" s="38">
        <f t="shared" si="66"/>
        <v>766</v>
      </c>
      <c r="Q211" s="38">
        <v>0</v>
      </c>
      <c r="R211" s="38">
        <v>0</v>
      </c>
      <c r="S211" s="38">
        <f t="shared" si="67"/>
        <v>0</v>
      </c>
      <c r="T211" s="38">
        <v>0</v>
      </c>
      <c r="U211" s="38">
        <v>0</v>
      </c>
      <c r="V211" s="38">
        <f t="shared" si="68"/>
        <v>0</v>
      </c>
      <c r="W211" s="38">
        <v>0</v>
      </c>
      <c r="X211" s="38">
        <v>0</v>
      </c>
      <c r="Y211" s="38">
        <f t="shared" si="69"/>
        <v>0</v>
      </c>
      <c r="Z211" s="38">
        <v>0</v>
      </c>
      <c r="AA211" s="38">
        <v>0</v>
      </c>
      <c r="AB211" s="38">
        <f t="shared" si="70"/>
        <v>0</v>
      </c>
      <c r="AC211" s="38">
        <v>0</v>
      </c>
      <c r="AD211" s="38">
        <v>0</v>
      </c>
      <c r="AE211" s="38">
        <f t="shared" si="71"/>
        <v>0</v>
      </c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</row>
    <row r="212" spans="1:255" ht="31.5" x14ac:dyDescent="0.25">
      <c r="A212" s="35" t="s">
        <v>200</v>
      </c>
      <c r="B212" s="40">
        <v>2</v>
      </c>
      <c r="C212" s="40">
        <v>589</v>
      </c>
      <c r="D212" s="36">
        <v>5203</v>
      </c>
      <c r="E212" s="38">
        <f t="shared" si="63"/>
        <v>4383</v>
      </c>
      <c r="F212" s="38">
        <f t="shared" si="63"/>
        <v>4383</v>
      </c>
      <c r="G212" s="38">
        <f t="shared" si="63"/>
        <v>0</v>
      </c>
      <c r="H212" s="38">
        <v>0</v>
      </c>
      <c r="I212" s="38">
        <v>0</v>
      </c>
      <c r="J212" s="38">
        <f t="shared" si="64"/>
        <v>0</v>
      </c>
      <c r="K212" s="38">
        <v>0</v>
      </c>
      <c r="L212" s="38">
        <v>0</v>
      </c>
      <c r="M212" s="38">
        <f t="shared" si="65"/>
        <v>0</v>
      </c>
      <c r="N212" s="38">
        <v>4383</v>
      </c>
      <c r="O212" s="38">
        <v>4383</v>
      </c>
      <c r="P212" s="38">
        <f t="shared" si="66"/>
        <v>0</v>
      </c>
      <c r="Q212" s="38">
        <v>0</v>
      </c>
      <c r="R212" s="38">
        <v>0</v>
      </c>
      <c r="S212" s="38">
        <f t="shared" si="67"/>
        <v>0</v>
      </c>
      <c r="T212" s="38">
        <v>0</v>
      </c>
      <c r="U212" s="38">
        <v>0</v>
      </c>
      <c r="V212" s="38">
        <f t="shared" si="68"/>
        <v>0</v>
      </c>
      <c r="W212" s="38">
        <v>0</v>
      </c>
      <c r="X212" s="38">
        <v>0</v>
      </c>
      <c r="Y212" s="38">
        <f t="shared" si="69"/>
        <v>0</v>
      </c>
      <c r="Z212" s="38">
        <v>0</v>
      </c>
      <c r="AA212" s="38">
        <v>0</v>
      </c>
      <c r="AB212" s="38">
        <f t="shared" si="70"/>
        <v>0</v>
      </c>
      <c r="AC212" s="38">
        <v>0</v>
      </c>
      <c r="AD212" s="38">
        <v>0</v>
      </c>
      <c r="AE212" s="38">
        <f t="shared" si="71"/>
        <v>0</v>
      </c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</row>
    <row r="213" spans="1:255" ht="31.5" x14ac:dyDescent="0.25">
      <c r="A213" s="35" t="s">
        <v>201</v>
      </c>
      <c r="B213" s="36">
        <v>1</v>
      </c>
      <c r="C213" s="36">
        <v>551</v>
      </c>
      <c r="D213" s="36">
        <v>5203</v>
      </c>
      <c r="E213" s="38">
        <f t="shared" si="63"/>
        <v>26158</v>
      </c>
      <c r="F213" s="38">
        <f t="shared" si="63"/>
        <v>26158</v>
      </c>
      <c r="G213" s="38">
        <f t="shared" si="63"/>
        <v>0</v>
      </c>
      <c r="H213" s="38">
        <v>0</v>
      </c>
      <c r="I213" s="38">
        <v>0</v>
      </c>
      <c r="J213" s="38">
        <f t="shared" si="64"/>
        <v>0</v>
      </c>
      <c r="K213" s="38">
        <v>0</v>
      </c>
      <c r="L213" s="38">
        <v>0</v>
      </c>
      <c r="M213" s="38">
        <f t="shared" si="65"/>
        <v>0</v>
      </c>
      <c r="N213" s="38">
        <v>0</v>
      </c>
      <c r="O213" s="38">
        <v>0</v>
      </c>
      <c r="P213" s="38">
        <f t="shared" si="66"/>
        <v>0</v>
      </c>
      <c r="Q213" s="38">
        <v>0</v>
      </c>
      <c r="R213" s="38">
        <v>0</v>
      </c>
      <c r="S213" s="38">
        <f t="shared" si="67"/>
        <v>0</v>
      </c>
      <c r="T213" s="38">
        <v>26158</v>
      </c>
      <c r="U213" s="38">
        <v>26158</v>
      </c>
      <c r="V213" s="38">
        <f t="shared" si="68"/>
        <v>0</v>
      </c>
      <c r="W213" s="38">
        <v>0</v>
      </c>
      <c r="X213" s="38">
        <v>0</v>
      </c>
      <c r="Y213" s="38">
        <f t="shared" si="69"/>
        <v>0</v>
      </c>
      <c r="Z213" s="38">
        <v>0</v>
      </c>
      <c r="AA213" s="38">
        <v>0</v>
      </c>
      <c r="AB213" s="38">
        <f t="shared" si="70"/>
        <v>0</v>
      </c>
      <c r="AC213" s="38">
        <v>0</v>
      </c>
      <c r="AD213" s="38">
        <v>0</v>
      </c>
      <c r="AE213" s="38">
        <f t="shared" si="71"/>
        <v>0</v>
      </c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</row>
    <row r="214" spans="1:255" ht="47.25" x14ac:dyDescent="0.25">
      <c r="A214" s="35" t="s">
        <v>202</v>
      </c>
      <c r="B214" s="36">
        <v>1</v>
      </c>
      <c r="C214" s="36">
        <v>551</v>
      </c>
      <c r="D214" s="36">
        <v>5203</v>
      </c>
      <c r="E214" s="38">
        <f t="shared" si="63"/>
        <v>0</v>
      </c>
      <c r="F214" s="38">
        <f t="shared" si="63"/>
        <v>5120</v>
      </c>
      <c r="G214" s="38">
        <f t="shared" si="63"/>
        <v>5120</v>
      </c>
      <c r="H214" s="38">
        <v>0</v>
      </c>
      <c r="I214" s="38">
        <v>0</v>
      </c>
      <c r="J214" s="38">
        <f t="shared" si="64"/>
        <v>0</v>
      </c>
      <c r="K214" s="38">
        <v>0</v>
      </c>
      <c r="L214" s="38">
        <v>0</v>
      </c>
      <c r="M214" s="38">
        <f t="shared" si="65"/>
        <v>0</v>
      </c>
      <c r="N214" s="38">
        <v>0</v>
      </c>
      <c r="O214" s="38">
        <v>0</v>
      </c>
      <c r="P214" s="38">
        <f t="shared" si="66"/>
        <v>0</v>
      </c>
      <c r="Q214" s="38">
        <v>0</v>
      </c>
      <c r="R214" s="38">
        <v>0</v>
      </c>
      <c r="S214" s="38">
        <f t="shared" si="67"/>
        <v>0</v>
      </c>
      <c r="T214" s="38"/>
      <c r="U214" s="38">
        <v>5120</v>
      </c>
      <c r="V214" s="38">
        <f t="shared" si="68"/>
        <v>5120</v>
      </c>
      <c r="W214" s="38">
        <v>0</v>
      </c>
      <c r="X214" s="38">
        <v>0</v>
      </c>
      <c r="Y214" s="38">
        <f t="shared" si="69"/>
        <v>0</v>
      </c>
      <c r="Z214" s="38">
        <v>0</v>
      </c>
      <c r="AA214" s="38">
        <v>0</v>
      </c>
      <c r="AB214" s="38">
        <f t="shared" si="70"/>
        <v>0</v>
      </c>
      <c r="AC214" s="38">
        <v>0</v>
      </c>
      <c r="AD214" s="38">
        <v>0</v>
      </c>
      <c r="AE214" s="38">
        <f t="shared" si="71"/>
        <v>0</v>
      </c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</row>
    <row r="215" spans="1:255" ht="31.5" x14ac:dyDescent="0.25">
      <c r="A215" s="35" t="s">
        <v>203</v>
      </c>
      <c r="B215" s="36">
        <v>1</v>
      </c>
      <c r="C215" s="36">
        <v>551</v>
      </c>
      <c r="D215" s="36">
        <v>5203</v>
      </c>
      <c r="E215" s="38">
        <f t="shared" si="63"/>
        <v>0</v>
      </c>
      <c r="F215" s="38">
        <f t="shared" si="63"/>
        <v>2412</v>
      </c>
      <c r="G215" s="38">
        <f t="shared" si="63"/>
        <v>2412</v>
      </c>
      <c r="H215" s="38">
        <v>0</v>
      </c>
      <c r="I215" s="38">
        <v>0</v>
      </c>
      <c r="J215" s="38">
        <f t="shared" si="64"/>
        <v>0</v>
      </c>
      <c r="K215" s="38">
        <v>0</v>
      </c>
      <c r="L215" s="38">
        <v>0</v>
      </c>
      <c r="M215" s="38">
        <f t="shared" si="65"/>
        <v>0</v>
      </c>
      <c r="N215" s="38">
        <v>0</v>
      </c>
      <c r="O215" s="38">
        <v>0</v>
      </c>
      <c r="P215" s="38">
        <f t="shared" si="66"/>
        <v>0</v>
      </c>
      <c r="Q215" s="38">
        <v>0</v>
      </c>
      <c r="R215" s="38">
        <v>0</v>
      </c>
      <c r="S215" s="38">
        <f t="shared" si="67"/>
        <v>0</v>
      </c>
      <c r="T215" s="38"/>
      <c r="U215" s="38">
        <v>2412</v>
      </c>
      <c r="V215" s="38">
        <f t="shared" si="68"/>
        <v>2412</v>
      </c>
      <c r="W215" s="38">
        <v>0</v>
      </c>
      <c r="X215" s="38">
        <v>0</v>
      </c>
      <c r="Y215" s="38">
        <f t="shared" si="69"/>
        <v>0</v>
      </c>
      <c r="Z215" s="38">
        <v>0</v>
      </c>
      <c r="AA215" s="38">
        <v>0</v>
      </c>
      <c r="AB215" s="38">
        <f t="shared" si="70"/>
        <v>0</v>
      </c>
      <c r="AC215" s="38">
        <v>0</v>
      </c>
      <c r="AD215" s="38">
        <v>0</v>
      </c>
      <c r="AE215" s="38">
        <f t="shared" si="71"/>
        <v>0</v>
      </c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</row>
    <row r="216" spans="1:255" ht="31.5" x14ac:dyDescent="0.25">
      <c r="A216" s="35" t="s">
        <v>204</v>
      </c>
      <c r="B216" s="36">
        <v>1</v>
      </c>
      <c r="C216" s="36">
        <v>526</v>
      </c>
      <c r="D216" s="36">
        <v>5203</v>
      </c>
      <c r="E216" s="38">
        <f t="shared" si="63"/>
        <v>7700</v>
      </c>
      <c r="F216" s="38">
        <f t="shared" si="63"/>
        <v>7700</v>
      </c>
      <c r="G216" s="38">
        <f t="shared" si="63"/>
        <v>0</v>
      </c>
      <c r="H216" s="38">
        <v>0</v>
      </c>
      <c r="I216" s="38">
        <v>0</v>
      </c>
      <c r="J216" s="38">
        <f t="shared" si="64"/>
        <v>0</v>
      </c>
      <c r="K216" s="38">
        <v>0</v>
      </c>
      <c r="L216" s="38">
        <v>0</v>
      </c>
      <c r="M216" s="38">
        <f t="shared" si="65"/>
        <v>0</v>
      </c>
      <c r="N216" s="38">
        <v>0</v>
      </c>
      <c r="O216" s="38">
        <v>0</v>
      </c>
      <c r="P216" s="38">
        <f t="shared" si="66"/>
        <v>0</v>
      </c>
      <c r="Q216" s="38">
        <v>0</v>
      </c>
      <c r="R216" s="38">
        <v>0</v>
      </c>
      <c r="S216" s="38">
        <f t="shared" si="67"/>
        <v>0</v>
      </c>
      <c r="T216" s="38">
        <v>7700</v>
      </c>
      <c r="U216" s="38">
        <v>7700</v>
      </c>
      <c r="V216" s="38">
        <f t="shared" si="68"/>
        <v>0</v>
      </c>
      <c r="W216" s="38">
        <v>0</v>
      </c>
      <c r="X216" s="38">
        <v>0</v>
      </c>
      <c r="Y216" s="38">
        <f t="shared" si="69"/>
        <v>0</v>
      </c>
      <c r="Z216" s="38">
        <v>0</v>
      </c>
      <c r="AA216" s="38">
        <v>0</v>
      </c>
      <c r="AB216" s="38">
        <f t="shared" si="70"/>
        <v>0</v>
      </c>
      <c r="AC216" s="38">
        <v>0</v>
      </c>
      <c r="AD216" s="38">
        <v>0</v>
      </c>
      <c r="AE216" s="38">
        <f t="shared" si="71"/>
        <v>0</v>
      </c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</row>
    <row r="217" spans="1:255" ht="27.75" customHeight="1" x14ac:dyDescent="0.25">
      <c r="A217" s="42" t="s">
        <v>205</v>
      </c>
      <c r="B217" s="36">
        <v>1</v>
      </c>
      <c r="C217" s="36">
        <v>540</v>
      </c>
      <c r="D217" s="36">
        <v>5203</v>
      </c>
      <c r="E217" s="31">
        <f t="shared" si="63"/>
        <v>12461</v>
      </c>
      <c r="F217" s="31">
        <f t="shared" si="63"/>
        <v>12461</v>
      </c>
      <c r="G217" s="31">
        <f t="shared" si="63"/>
        <v>0</v>
      </c>
      <c r="H217" s="31">
        <v>0</v>
      </c>
      <c r="I217" s="31">
        <v>0</v>
      </c>
      <c r="J217" s="31">
        <f t="shared" si="64"/>
        <v>0</v>
      </c>
      <c r="K217" s="31">
        <v>0</v>
      </c>
      <c r="L217" s="31">
        <v>0</v>
      </c>
      <c r="M217" s="31">
        <f t="shared" si="65"/>
        <v>0</v>
      </c>
      <c r="N217" s="31">
        <v>0</v>
      </c>
      <c r="O217" s="31">
        <v>0</v>
      </c>
      <c r="P217" s="31">
        <f t="shared" si="66"/>
        <v>0</v>
      </c>
      <c r="Q217" s="31">
        <v>0</v>
      </c>
      <c r="R217" s="31">
        <v>0</v>
      </c>
      <c r="S217" s="31">
        <f t="shared" si="67"/>
        <v>0</v>
      </c>
      <c r="T217" s="31">
        <v>12461</v>
      </c>
      <c r="U217" s="31">
        <v>12461</v>
      </c>
      <c r="V217" s="31">
        <f t="shared" si="68"/>
        <v>0</v>
      </c>
      <c r="W217" s="31">
        <v>0</v>
      </c>
      <c r="X217" s="31">
        <v>0</v>
      </c>
      <c r="Y217" s="31">
        <f t="shared" si="69"/>
        <v>0</v>
      </c>
      <c r="Z217" s="31">
        <v>0</v>
      </c>
      <c r="AA217" s="31">
        <v>0</v>
      </c>
      <c r="AB217" s="31">
        <f t="shared" si="70"/>
        <v>0</v>
      </c>
      <c r="AC217" s="31">
        <v>0</v>
      </c>
      <c r="AD217" s="31">
        <v>0</v>
      </c>
      <c r="AE217" s="31">
        <f t="shared" si="71"/>
        <v>0</v>
      </c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</row>
    <row r="218" spans="1:255" ht="63" x14ac:dyDescent="0.25">
      <c r="A218" s="35" t="s">
        <v>206</v>
      </c>
      <c r="B218" s="40">
        <v>1</v>
      </c>
      <c r="C218" s="40">
        <v>541</v>
      </c>
      <c r="D218" s="40">
        <v>5203</v>
      </c>
      <c r="E218" s="38">
        <f t="shared" si="63"/>
        <v>20221</v>
      </c>
      <c r="F218" s="38">
        <f t="shared" si="63"/>
        <v>20221</v>
      </c>
      <c r="G218" s="38">
        <f t="shared" si="63"/>
        <v>0</v>
      </c>
      <c r="H218" s="38">
        <v>0</v>
      </c>
      <c r="I218" s="38">
        <v>0</v>
      </c>
      <c r="J218" s="38">
        <f t="shared" si="64"/>
        <v>0</v>
      </c>
      <c r="K218" s="38">
        <v>0</v>
      </c>
      <c r="L218" s="38">
        <v>0</v>
      </c>
      <c r="M218" s="38">
        <f t="shared" si="65"/>
        <v>0</v>
      </c>
      <c r="N218" s="38">
        <v>0</v>
      </c>
      <c r="O218" s="38">
        <v>0</v>
      </c>
      <c r="P218" s="38">
        <f t="shared" si="66"/>
        <v>0</v>
      </c>
      <c r="Q218" s="38">
        <v>0</v>
      </c>
      <c r="R218" s="38">
        <v>0</v>
      </c>
      <c r="S218" s="38">
        <f t="shared" si="67"/>
        <v>0</v>
      </c>
      <c r="T218" s="38">
        <v>20221</v>
      </c>
      <c r="U218" s="38">
        <v>20221</v>
      </c>
      <c r="V218" s="38">
        <f t="shared" si="68"/>
        <v>0</v>
      </c>
      <c r="W218" s="38">
        <v>0</v>
      </c>
      <c r="X218" s="38">
        <v>0</v>
      </c>
      <c r="Y218" s="38">
        <f t="shared" si="69"/>
        <v>0</v>
      </c>
      <c r="Z218" s="38">
        <v>0</v>
      </c>
      <c r="AA218" s="38">
        <v>0</v>
      </c>
      <c r="AB218" s="38">
        <f t="shared" si="70"/>
        <v>0</v>
      </c>
      <c r="AC218" s="38">
        <v>0</v>
      </c>
      <c r="AD218" s="38">
        <v>0</v>
      </c>
      <c r="AE218" s="38">
        <f t="shared" si="71"/>
        <v>0</v>
      </c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</row>
    <row r="219" spans="1:255" ht="94.5" x14ac:dyDescent="0.25">
      <c r="A219" s="42" t="s">
        <v>207</v>
      </c>
      <c r="B219" s="36">
        <v>1</v>
      </c>
      <c r="C219" s="36">
        <v>550</v>
      </c>
      <c r="D219" s="36">
        <v>5203</v>
      </c>
      <c r="E219" s="31">
        <f t="shared" si="63"/>
        <v>37829</v>
      </c>
      <c r="F219" s="31">
        <f t="shared" si="63"/>
        <v>37829</v>
      </c>
      <c r="G219" s="31">
        <f t="shared" si="63"/>
        <v>0</v>
      </c>
      <c r="H219" s="31">
        <v>0</v>
      </c>
      <c r="I219" s="31">
        <v>0</v>
      </c>
      <c r="J219" s="31">
        <f t="shared" si="64"/>
        <v>0</v>
      </c>
      <c r="K219" s="31">
        <v>0</v>
      </c>
      <c r="L219" s="31">
        <v>0</v>
      </c>
      <c r="M219" s="31">
        <f t="shared" si="65"/>
        <v>0</v>
      </c>
      <c r="N219" s="31"/>
      <c r="O219" s="31"/>
      <c r="P219" s="31">
        <f t="shared" si="66"/>
        <v>0</v>
      </c>
      <c r="Q219" s="31">
        <v>37829</v>
      </c>
      <c r="R219" s="31">
        <v>37829</v>
      </c>
      <c r="S219" s="31">
        <f t="shared" si="67"/>
        <v>0</v>
      </c>
      <c r="T219" s="31"/>
      <c r="U219" s="31"/>
      <c r="V219" s="31">
        <f t="shared" si="68"/>
        <v>0</v>
      </c>
      <c r="W219" s="31">
        <v>0</v>
      </c>
      <c r="X219" s="31">
        <v>0</v>
      </c>
      <c r="Y219" s="31">
        <f t="shared" si="69"/>
        <v>0</v>
      </c>
      <c r="Z219" s="31">
        <v>0</v>
      </c>
      <c r="AA219" s="31">
        <v>0</v>
      </c>
      <c r="AB219" s="31">
        <f t="shared" si="70"/>
        <v>0</v>
      </c>
      <c r="AC219" s="31"/>
      <c r="AD219" s="31"/>
      <c r="AE219" s="31">
        <f t="shared" si="71"/>
        <v>0</v>
      </c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</row>
    <row r="220" spans="1:255" ht="94.5" x14ac:dyDescent="0.25">
      <c r="A220" s="42" t="s">
        <v>208</v>
      </c>
      <c r="B220" s="36"/>
      <c r="C220" s="36"/>
      <c r="D220" s="36"/>
      <c r="E220" s="31">
        <f t="shared" si="63"/>
        <v>69982</v>
      </c>
      <c r="F220" s="31">
        <f t="shared" si="63"/>
        <v>69982</v>
      </c>
      <c r="G220" s="31">
        <f t="shared" si="63"/>
        <v>0</v>
      </c>
      <c r="H220" s="31">
        <v>0</v>
      </c>
      <c r="I220" s="31">
        <v>0</v>
      </c>
      <c r="J220" s="31">
        <f t="shared" si="64"/>
        <v>0</v>
      </c>
      <c r="K220" s="31">
        <v>0</v>
      </c>
      <c r="L220" s="31">
        <v>0</v>
      </c>
      <c r="M220" s="31">
        <f t="shared" si="65"/>
        <v>0</v>
      </c>
      <c r="N220" s="31">
        <v>0</v>
      </c>
      <c r="O220" s="31">
        <v>0</v>
      </c>
      <c r="P220" s="31">
        <f t="shared" si="66"/>
        <v>0</v>
      </c>
      <c r="Q220" s="31">
        <v>69982</v>
      </c>
      <c r="R220" s="31">
        <v>69982</v>
      </c>
      <c r="S220" s="31">
        <f t="shared" si="67"/>
        <v>0</v>
      </c>
      <c r="T220" s="31">
        <v>0</v>
      </c>
      <c r="U220" s="31">
        <v>0</v>
      </c>
      <c r="V220" s="31">
        <f t="shared" si="68"/>
        <v>0</v>
      </c>
      <c r="W220" s="31">
        <v>0</v>
      </c>
      <c r="X220" s="31">
        <v>0</v>
      </c>
      <c r="Y220" s="31">
        <f t="shared" si="69"/>
        <v>0</v>
      </c>
      <c r="Z220" s="31">
        <v>0</v>
      </c>
      <c r="AA220" s="31">
        <v>0</v>
      </c>
      <c r="AB220" s="31">
        <f t="shared" si="70"/>
        <v>0</v>
      </c>
      <c r="AC220" s="31">
        <v>0</v>
      </c>
      <c r="AD220" s="31">
        <v>0</v>
      </c>
      <c r="AE220" s="31">
        <f t="shared" si="71"/>
        <v>0</v>
      </c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</row>
    <row r="221" spans="1:255" x14ac:dyDescent="0.25">
      <c r="A221" s="35" t="s">
        <v>209</v>
      </c>
      <c r="B221" s="36">
        <v>1</v>
      </c>
      <c r="C221" s="36">
        <v>530</v>
      </c>
      <c r="D221" s="36">
        <v>5203</v>
      </c>
      <c r="E221" s="38">
        <f t="shared" si="63"/>
        <v>1846</v>
      </c>
      <c r="F221" s="38">
        <f t="shared" si="63"/>
        <v>1846</v>
      </c>
      <c r="G221" s="38">
        <f t="shared" si="63"/>
        <v>0</v>
      </c>
      <c r="H221" s="38">
        <v>0</v>
      </c>
      <c r="I221" s="38">
        <v>0</v>
      </c>
      <c r="J221" s="38">
        <f t="shared" si="64"/>
        <v>0</v>
      </c>
      <c r="K221" s="38">
        <v>0</v>
      </c>
      <c r="L221" s="38">
        <v>0</v>
      </c>
      <c r="M221" s="38">
        <f t="shared" si="65"/>
        <v>0</v>
      </c>
      <c r="N221" s="38">
        <v>0</v>
      </c>
      <c r="O221" s="38">
        <v>0</v>
      </c>
      <c r="P221" s="38">
        <f t="shared" si="66"/>
        <v>0</v>
      </c>
      <c r="Q221" s="38">
        <v>0</v>
      </c>
      <c r="R221" s="38">
        <v>0</v>
      </c>
      <c r="S221" s="38">
        <f t="shared" si="67"/>
        <v>0</v>
      </c>
      <c r="T221" s="38">
        <f>1846</f>
        <v>1846</v>
      </c>
      <c r="U221" s="38">
        <f>1846</f>
        <v>1846</v>
      </c>
      <c r="V221" s="38">
        <f t="shared" si="68"/>
        <v>0</v>
      </c>
      <c r="W221" s="38">
        <v>0</v>
      </c>
      <c r="X221" s="38">
        <v>0</v>
      </c>
      <c r="Y221" s="38">
        <f t="shared" si="69"/>
        <v>0</v>
      </c>
      <c r="Z221" s="38">
        <v>0</v>
      </c>
      <c r="AA221" s="38">
        <v>0</v>
      </c>
      <c r="AB221" s="38">
        <f t="shared" si="70"/>
        <v>0</v>
      </c>
      <c r="AC221" s="38">
        <v>0</v>
      </c>
      <c r="AD221" s="38">
        <v>0</v>
      </c>
      <c r="AE221" s="38">
        <f t="shared" si="71"/>
        <v>0</v>
      </c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</row>
    <row r="222" spans="1:255" x14ac:dyDescent="0.25">
      <c r="A222" s="35" t="s">
        <v>210</v>
      </c>
      <c r="B222" s="36">
        <v>1</v>
      </c>
      <c r="C222" s="36">
        <v>530</v>
      </c>
      <c r="D222" s="36">
        <v>5203</v>
      </c>
      <c r="E222" s="38">
        <f t="shared" si="63"/>
        <v>9481</v>
      </c>
      <c r="F222" s="38">
        <f t="shared" si="63"/>
        <v>9481</v>
      </c>
      <c r="G222" s="38">
        <f t="shared" si="63"/>
        <v>0</v>
      </c>
      <c r="H222" s="38">
        <v>0</v>
      </c>
      <c r="I222" s="38">
        <v>0</v>
      </c>
      <c r="J222" s="38">
        <f t="shared" si="64"/>
        <v>0</v>
      </c>
      <c r="K222" s="38">
        <v>0</v>
      </c>
      <c r="L222" s="38">
        <v>0</v>
      </c>
      <c r="M222" s="38">
        <f t="shared" si="65"/>
        <v>0</v>
      </c>
      <c r="N222" s="38">
        <v>0</v>
      </c>
      <c r="O222" s="38">
        <v>0</v>
      </c>
      <c r="P222" s="38">
        <f t="shared" si="66"/>
        <v>0</v>
      </c>
      <c r="Q222" s="38">
        <v>0</v>
      </c>
      <c r="R222" s="38">
        <v>0</v>
      </c>
      <c r="S222" s="38">
        <f t="shared" si="67"/>
        <v>0</v>
      </c>
      <c r="T222" s="38">
        <f>11327-1846</f>
        <v>9481</v>
      </c>
      <c r="U222" s="38">
        <f>11327-1846</f>
        <v>9481</v>
      </c>
      <c r="V222" s="38">
        <f t="shared" si="68"/>
        <v>0</v>
      </c>
      <c r="W222" s="38">
        <v>0</v>
      </c>
      <c r="X222" s="38">
        <v>0</v>
      </c>
      <c r="Y222" s="38">
        <f t="shared" si="69"/>
        <v>0</v>
      </c>
      <c r="Z222" s="38">
        <v>0</v>
      </c>
      <c r="AA222" s="38">
        <v>0</v>
      </c>
      <c r="AB222" s="38">
        <f t="shared" si="70"/>
        <v>0</v>
      </c>
      <c r="AC222" s="38">
        <v>0</v>
      </c>
      <c r="AD222" s="38">
        <v>0</v>
      </c>
      <c r="AE222" s="38">
        <f t="shared" si="71"/>
        <v>0</v>
      </c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</row>
    <row r="223" spans="1:255" x14ac:dyDescent="0.25">
      <c r="A223" s="26" t="s">
        <v>127</v>
      </c>
      <c r="B223" s="34"/>
      <c r="C223" s="34"/>
      <c r="D223" s="34"/>
      <c r="E223" s="27">
        <f t="shared" si="63"/>
        <v>187739</v>
      </c>
      <c r="F223" s="27">
        <f t="shared" si="63"/>
        <v>187739</v>
      </c>
      <c r="G223" s="27">
        <f t="shared" si="63"/>
        <v>0</v>
      </c>
      <c r="H223" s="27">
        <f>SUM(H224:H226)</f>
        <v>0</v>
      </c>
      <c r="I223" s="27">
        <f>SUM(I224:I226)</f>
        <v>0</v>
      </c>
      <c r="J223" s="27">
        <f t="shared" si="64"/>
        <v>0</v>
      </c>
      <c r="K223" s="27">
        <f>SUM(K224:K226)</f>
        <v>0</v>
      </c>
      <c r="L223" s="27">
        <f>SUM(L224:L226)</f>
        <v>0</v>
      </c>
      <c r="M223" s="27">
        <f t="shared" si="65"/>
        <v>0</v>
      </c>
      <c r="N223" s="27">
        <f>SUM(N224:N226)</f>
        <v>8158</v>
      </c>
      <c r="O223" s="27">
        <f>SUM(O224:O226)</f>
        <v>8158</v>
      </c>
      <c r="P223" s="27">
        <f t="shared" si="66"/>
        <v>0</v>
      </c>
      <c r="Q223" s="27">
        <f>SUM(Q224:Q226)</f>
        <v>0</v>
      </c>
      <c r="R223" s="27">
        <f>SUM(R224:R226)</f>
        <v>0</v>
      </c>
      <c r="S223" s="27">
        <f t="shared" si="67"/>
        <v>0</v>
      </c>
      <c r="T223" s="27">
        <f>SUM(T224:T226)</f>
        <v>0</v>
      </c>
      <c r="U223" s="27">
        <f>SUM(U224:U226)</f>
        <v>0</v>
      </c>
      <c r="V223" s="27">
        <f t="shared" si="68"/>
        <v>0</v>
      </c>
      <c r="W223" s="27">
        <f>SUM(W224:W226)</f>
        <v>0</v>
      </c>
      <c r="X223" s="27">
        <f>SUM(X224:X226)</f>
        <v>0</v>
      </c>
      <c r="Y223" s="27">
        <f t="shared" si="69"/>
        <v>0</v>
      </c>
      <c r="Z223" s="27">
        <f>SUM(Z224:Z226)</f>
        <v>30692</v>
      </c>
      <c r="AA223" s="27">
        <f>SUM(AA224:AA226)</f>
        <v>30692</v>
      </c>
      <c r="AB223" s="27">
        <f t="shared" si="70"/>
        <v>0</v>
      </c>
      <c r="AC223" s="27">
        <f>SUM(AC224:AC226)</f>
        <v>148889</v>
      </c>
      <c r="AD223" s="27">
        <f>SUM(AD224:AD226)</f>
        <v>148889</v>
      </c>
      <c r="AE223" s="27">
        <f t="shared" si="71"/>
        <v>0</v>
      </c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</row>
    <row r="224" spans="1:255" ht="31.5" x14ac:dyDescent="0.25">
      <c r="A224" s="42" t="s">
        <v>211</v>
      </c>
      <c r="B224" s="40"/>
      <c r="C224" s="40"/>
      <c r="D224" s="40"/>
      <c r="E224" s="45">
        <f t="shared" si="63"/>
        <v>96079</v>
      </c>
      <c r="F224" s="45">
        <f t="shared" si="63"/>
        <v>96079</v>
      </c>
      <c r="G224" s="45">
        <f t="shared" si="63"/>
        <v>0</v>
      </c>
      <c r="H224" s="45">
        <v>0</v>
      </c>
      <c r="I224" s="45">
        <v>0</v>
      </c>
      <c r="J224" s="45">
        <f t="shared" si="64"/>
        <v>0</v>
      </c>
      <c r="K224" s="45">
        <v>0</v>
      </c>
      <c r="L224" s="45">
        <v>0</v>
      </c>
      <c r="M224" s="45">
        <f t="shared" si="65"/>
        <v>0</v>
      </c>
      <c r="N224" s="45"/>
      <c r="O224" s="45"/>
      <c r="P224" s="45">
        <f t="shared" si="66"/>
        <v>0</v>
      </c>
      <c r="Q224" s="45">
        <v>0</v>
      </c>
      <c r="R224" s="45">
        <v>0</v>
      </c>
      <c r="S224" s="45">
        <f t="shared" si="67"/>
        <v>0</v>
      </c>
      <c r="T224" s="45">
        <v>0</v>
      </c>
      <c r="U224" s="45">
        <v>0</v>
      </c>
      <c r="V224" s="45">
        <f t="shared" si="68"/>
        <v>0</v>
      </c>
      <c r="W224" s="45">
        <v>0</v>
      </c>
      <c r="X224" s="45">
        <v>0</v>
      </c>
      <c r="Y224" s="45">
        <f t="shared" si="69"/>
        <v>0</v>
      </c>
      <c r="Z224" s="45"/>
      <c r="AA224" s="45"/>
      <c r="AB224" s="45">
        <f t="shared" si="70"/>
        <v>0</v>
      </c>
      <c r="AC224" s="45">
        <v>96079</v>
      </c>
      <c r="AD224" s="45">
        <v>96079</v>
      </c>
      <c r="AE224" s="45">
        <f t="shared" si="71"/>
        <v>0</v>
      </c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</row>
    <row r="225" spans="1:255" ht="31.5" x14ac:dyDescent="0.25">
      <c r="A225" s="42" t="s">
        <v>212</v>
      </c>
      <c r="B225" s="40"/>
      <c r="C225" s="40"/>
      <c r="D225" s="40"/>
      <c r="E225" s="45">
        <f t="shared" si="63"/>
        <v>52810</v>
      </c>
      <c r="F225" s="45">
        <f t="shared" si="63"/>
        <v>52810</v>
      </c>
      <c r="G225" s="45">
        <f t="shared" si="63"/>
        <v>0</v>
      </c>
      <c r="H225" s="45">
        <v>0</v>
      </c>
      <c r="I225" s="45">
        <v>0</v>
      </c>
      <c r="J225" s="45">
        <f t="shared" si="64"/>
        <v>0</v>
      </c>
      <c r="K225" s="45">
        <v>0</v>
      </c>
      <c r="L225" s="45">
        <v>0</v>
      </c>
      <c r="M225" s="45">
        <f t="shared" si="65"/>
        <v>0</v>
      </c>
      <c r="N225" s="45"/>
      <c r="O225" s="45"/>
      <c r="P225" s="45">
        <f t="shared" si="66"/>
        <v>0</v>
      </c>
      <c r="Q225" s="45">
        <v>0</v>
      </c>
      <c r="R225" s="45">
        <v>0</v>
      </c>
      <c r="S225" s="45">
        <f t="shared" si="67"/>
        <v>0</v>
      </c>
      <c r="T225" s="45">
        <v>0</v>
      </c>
      <c r="U225" s="45">
        <v>0</v>
      </c>
      <c r="V225" s="45">
        <f t="shared" si="68"/>
        <v>0</v>
      </c>
      <c r="W225" s="45">
        <v>0</v>
      </c>
      <c r="X225" s="45">
        <v>0</v>
      </c>
      <c r="Y225" s="45">
        <f t="shared" si="69"/>
        <v>0</v>
      </c>
      <c r="Z225" s="45"/>
      <c r="AA225" s="45"/>
      <c r="AB225" s="45">
        <f t="shared" si="70"/>
        <v>0</v>
      </c>
      <c r="AC225" s="45">
        <v>52810</v>
      </c>
      <c r="AD225" s="45">
        <v>52810</v>
      </c>
      <c r="AE225" s="45">
        <f t="shared" si="71"/>
        <v>0</v>
      </c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  <c r="IU225" s="25"/>
    </row>
    <row r="226" spans="1:255" ht="47.25" x14ac:dyDescent="0.25">
      <c r="A226" s="42" t="s">
        <v>213</v>
      </c>
      <c r="B226" s="40" t="s">
        <v>46</v>
      </c>
      <c r="C226" s="40">
        <v>589</v>
      </c>
      <c r="D226" s="40">
        <v>5204</v>
      </c>
      <c r="E226" s="45">
        <f t="shared" si="63"/>
        <v>38850</v>
      </c>
      <c r="F226" s="45">
        <f t="shared" si="63"/>
        <v>38850</v>
      </c>
      <c r="G226" s="45">
        <f t="shared" si="63"/>
        <v>0</v>
      </c>
      <c r="H226" s="45">
        <v>0</v>
      </c>
      <c r="I226" s="45">
        <v>0</v>
      </c>
      <c r="J226" s="45">
        <f t="shared" si="64"/>
        <v>0</v>
      </c>
      <c r="K226" s="45">
        <v>0</v>
      </c>
      <c r="L226" s="45">
        <v>0</v>
      </c>
      <c r="M226" s="45">
        <f t="shared" si="65"/>
        <v>0</v>
      </c>
      <c r="N226" s="45">
        <f>8820-662</f>
        <v>8158</v>
      </c>
      <c r="O226" s="45">
        <f>8820-662</f>
        <v>8158</v>
      </c>
      <c r="P226" s="45">
        <f t="shared" si="66"/>
        <v>0</v>
      </c>
      <c r="Q226" s="45">
        <v>0</v>
      </c>
      <c r="R226" s="45">
        <v>0</v>
      </c>
      <c r="S226" s="45">
        <f t="shared" si="67"/>
        <v>0</v>
      </c>
      <c r="T226" s="45">
        <v>0</v>
      </c>
      <c r="U226" s="45">
        <v>0</v>
      </c>
      <c r="V226" s="45">
        <f t="shared" si="68"/>
        <v>0</v>
      </c>
      <c r="W226" s="45">
        <v>0</v>
      </c>
      <c r="X226" s="45">
        <v>0</v>
      </c>
      <c r="Y226" s="45">
        <f t="shared" si="69"/>
        <v>0</v>
      </c>
      <c r="Z226" s="45">
        <f>30030+662</f>
        <v>30692</v>
      </c>
      <c r="AA226" s="45">
        <f>30030+662</f>
        <v>30692</v>
      </c>
      <c r="AB226" s="45">
        <f t="shared" si="70"/>
        <v>0</v>
      </c>
      <c r="AC226" s="45">
        <f>33180-33180</f>
        <v>0</v>
      </c>
      <c r="AD226" s="45">
        <f>33180-33180</f>
        <v>0</v>
      </c>
      <c r="AE226" s="45">
        <f t="shared" si="71"/>
        <v>0</v>
      </c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</row>
    <row r="227" spans="1:255" x14ac:dyDescent="0.25">
      <c r="A227" s="26" t="s">
        <v>128</v>
      </c>
      <c r="B227" s="34"/>
      <c r="C227" s="34"/>
      <c r="D227" s="34"/>
      <c r="E227" s="27">
        <f t="shared" si="63"/>
        <v>46037</v>
      </c>
      <c r="F227" s="27">
        <f t="shared" si="63"/>
        <v>44243</v>
      </c>
      <c r="G227" s="27">
        <f t="shared" si="63"/>
        <v>-1794</v>
      </c>
      <c r="H227" s="27">
        <f>SUM(H228:H233)</f>
        <v>0</v>
      </c>
      <c r="I227" s="27">
        <f>SUM(I228:I233)</f>
        <v>0</v>
      </c>
      <c r="J227" s="27">
        <f t="shared" si="64"/>
        <v>0</v>
      </c>
      <c r="K227" s="27">
        <f>SUM(K228:K233)</f>
        <v>0</v>
      </c>
      <c r="L227" s="27">
        <f>SUM(L228:L233)</f>
        <v>0</v>
      </c>
      <c r="M227" s="27">
        <f t="shared" si="65"/>
        <v>0</v>
      </c>
      <c r="N227" s="27">
        <f>SUM(N228:N233)</f>
        <v>0</v>
      </c>
      <c r="O227" s="27">
        <f>SUM(O228:O233)</f>
        <v>0</v>
      </c>
      <c r="P227" s="27">
        <f t="shared" si="66"/>
        <v>0</v>
      </c>
      <c r="Q227" s="27">
        <f>SUM(Q228:Q233)</f>
        <v>5564</v>
      </c>
      <c r="R227" s="27">
        <f>SUM(R228:R233)</f>
        <v>3564</v>
      </c>
      <c r="S227" s="27">
        <f t="shared" si="67"/>
        <v>-2000</v>
      </c>
      <c r="T227" s="27">
        <f>SUM(T228:T233)</f>
        <v>40473</v>
      </c>
      <c r="U227" s="27">
        <f>SUM(U228:U233)</f>
        <v>40679</v>
      </c>
      <c r="V227" s="27">
        <f t="shared" si="68"/>
        <v>206</v>
      </c>
      <c r="W227" s="27">
        <f>SUM(W228:W233)</f>
        <v>0</v>
      </c>
      <c r="X227" s="27">
        <f>SUM(X228:X233)</f>
        <v>0</v>
      </c>
      <c r="Y227" s="27">
        <f t="shared" si="69"/>
        <v>0</v>
      </c>
      <c r="Z227" s="27">
        <f>SUM(Z228:Z233)</f>
        <v>0</v>
      </c>
      <c r="AA227" s="27">
        <f>SUM(AA228:AA233)</f>
        <v>0</v>
      </c>
      <c r="AB227" s="27">
        <f t="shared" si="70"/>
        <v>0</v>
      </c>
      <c r="AC227" s="27">
        <f>SUM(AC228:AC233)</f>
        <v>0</v>
      </c>
      <c r="AD227" s="27">
        <f>SUM(AD228:AD233)</f>
        <v>0</v>
      </c>
      <c r="AE227" s="27">
        <f t="shared" si="71"/>
        <v>0</v>
      </c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</row>
    <row r="228" spans="1:255" ht="47.25" x14ac:dyDescent="0.25">
      <c r="A228" s="42" t="s">
        <v>214</v>
      </c>
      <c r="B228" s="36">
        <v>1</v>
      </c>
      <c r="C228" s="36">
        <v>541</v>
      </c>
      <c r="D228" s="36">
        <v>5205</v>
      </c>
      <c r="E228" s="31">
        <f t="shared" si="63"/>
        <v>19988</v>
      </c>
      <c r="F228" s="31">
        <f t="shared" si="63"/>
        <v>19988</v>
      </c>
      <c r="G228" s="31">
        <f t="shared" si="63"/>
        <v>0</v>
      </c>
      <c r="H228" s="31">
        <v>0</v>
      </c>
      <c r="I228" s="31">
        <v>0</v>
      </c>
      <c r="J228" s="31">
        <f t="shared" si="64"/>
        <v>0</v>
      </c>
      <c r="K228" s="31">
        <v>0</v>
      </c>
      <c r="L228" s="31">
        <v>0</v>
      </c>
      <c r="M228" s="31">
        <f t="shared" si="65"/>
        <v>0</v>
      </c>
      <c r="N228" s="31"/>
      <c r="O228" s="31"/>
      <c r="P228" s="31">
        <f t="shared" si="66"/>
        <v>0</v>
      </c>
      <c r="Q228" s="31">
        <v>0</v>
      </c>
      <c r="R228" s="31">
        <v>0</v>
      </c>
      <c r="S228" s="31">
        <f t="shared" si="67"/>
        <v>0</v>
      </c>
      <c r="T228" s="31">
        <v>19988</v>
      </c>
      <c r="U228" s="31">
        <v>19988</v>
      </c>
      <c r="V228" s="31">
        <f t="shared" si="68"/>
        <v>0</v>
      </c>
      <c r="W228" s="31">
        <v>0</v>
      </c>
      <c r="X228" s="31">
        <v>0</v>
      </c>
      <c r="Y228" s="31">
        <f t="shared" si="69"/>
        <v>0</v>
      </c>
      <c r="Z228" s="31">
        <v>0</v>
      </c>
      <c r="AA228" s="31">
        <v>0</v>
      </c>
      <c r="AB228" s="31">
        <f t="shared" si="70"/>
        <v>0</v>
      </c>
      <c r="AC228" s="31">
        <v>0</v>
      </c>
      <c r="AD228" s="31">
        <v>0</v>
      </c>
      <c r="AE228" s="31">
        <f t="shared" si="71"/>
        <v>0</v>
      </c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</row>
    <row r="229" spans="1:255" ht="57" customHeight="1" x14ac:dyDescent="0.25">
      <c r="A229" s="42" t="s">
        <v>215</v>
      </c>
      <c r="B229" s="36">
        <v>1</v>
      </c>
      <c r="C229" s="36">
        <v>541</v>
      </c>
      <c r="D229" s="36">
        <v>5205</v>
      </c>
      <c r="E229" s="31">
        <f t="shared" si="63"/>
        <v>7456</v>
      </c>
      <c r="F229" s="31">
        <f t="shared" si="63"/>
        <v>7456</v>
      </c>
      <c r="G229" s="31">
        <f t="shared" si="63"/>
        <v>0</v>
      </c>
      <c r="H229" s="31">
        <v>0</v>
      </c>
      <c r="I229" s="31">
        <v>0</v>
      </c>
      <c r="J229" s="31">
        <f t="shared" si="64"/>
        <v>0</v>
      </c>
      <c r="K229" s="31">
        <v>0</v>
      </c>
      <c r="L229" s="31">
        <v>0</v>
      </c>
      <c r="M229" s="31">
        <f t="shared" si="65"/>
        <v>0</v>
      </c>
      <c r="N229" s="31"/>
      <c r="O229" s="31"/>
      <c r="P229" s="31">
        <f t="shared" si="66"/>
        <v>0</v>
      </c>
      <c r="Q229" s="31">
        <v>0</v>
      </c>
      <c r="R229" s="31">
        <v>0</v>
      </c>
      <c r="S229" s="31">
        <f t="shared" si="67"/>
        <v>0</v>
      </c>
      <c r="T229" s="31">
        <v>7456</v>
      </c>
      <c r="U229" s="31">
        <v>7456</v>
      </c>
      <c r="V229" s="31">
        <f t="shared" si="68"/>
        <v>0</v>
      </c>
      <c r="W229" s="31">
        <v>0</v>
      </c>
      <c r="X229" s="31">
        <v>0</v>
      </c>
      <c r="Y229" s="31">
        <f t="shared" si="69"/>
        <v>0</v>
      </c>
      <c r="Z229" s="31">
        <v>0</v>
      </c>
      <c r="AA229" s="31">
        <v>0</v>
      </c>
      <c r="AB229" s="31">
        <f t="shared" si="70"/>
        <v>0</v>
      </c>
      <c r="AC229" s="31">
        <v>0</v>
      </c>
      <c r="AD229" s="31">
        <v>0</v>
      </c>
      <c r="AE229" s="31">
        <f t="shared" si="71"/>
        <v>0</v>
      </c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</row>
    <row r="230" spans="1:255" ht="94.5" x14ac:dyDescent="0.25">
      <c r="A230" s="42" t="s">
        <v>216</v>
      </c>
      <c r="B230" s="36"/>
      <c r="C230" s="36"/>
      <c r="D230" s="36"/>
      <c r="E230" s="31">
        <f t="shared" si="63"/>
        <v>3564</v>
      </c>
      <c r="F230" s="31">
        <f t="shared" si="63"/>
        <v>3564</v>
      </c>
      <c r="G230" s="31">
        <f t="shared" si="63"/>
        <v>0</v>
      </c>
      <c r="H230" s="31">
        <v>0</v>
      </c>
      <c r="I230" s="31">
        <v>0</v>
      </c>
      <c r="J230" s="31">
        <f t="shared" si="64"/>
        <v>0</v>
      </c>
      <c r="K230" s="31">
        <v>0</v>
      </c>
      <c r="L230" s="31">
        <v>0</v>
      </c>
      <c r="M230" s="31">
        <f t="shared" si="65"/>
        <v>0</v>
      </c>
      <c r="N230" s="31">
        <v>0</v>
      </c>
      <c r="O230" s="31">
        <v>0</v>
      </c>
      <c r="P230" s="31">
        <f t="shared" si="66"/>
        <v>0</v>
      </c>
      <c r="Q230" s="31">
        <v>3564</v>
      </c>
      <c r="R230" s="31">
        <v>3564</v>
      </c>
      <c r="S230" s="31">
        <f t="shared" si="67"/>
        <v>0</v>
      </c>
      <c r="T230" s="31">
        <v>0</v>
      </c>
      <c r="U230" s="31">
        <v>0</v>
      </c>
      <c r="V230" s="31">
        <f t="shared" si="68"/>
        <v>0</v>
      </c>
      <c r="W230" s="31">
        <v>0</v>
      </c>
      <c r="X230" s="31">
        <v>0</v>
      </c>
      <c r="Y230" s="31">
        <f t="shared" si="69"/>
        <v>0</v>
      </c>
      <c r="Z230" s="31">
        <v>0</v>
      </c>
      <c r="AA230" s="31">
        <v>0</v>
      </c>
      <c r="AB230" s="31">
        <f t="shared" si="70"/>
        <v>0</v>
      </c>
      <c r="AC230" s="31">
        <v>0</v>
      </c>
      <c r="AD230" s="31">
        <v>0</v>
      </c>
      <c r="AE230" s="31">
        <f t="shared" si="71"/>
        <v>0</v>
      </c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</row>
    <row r="231" spans="1:255" ht="63" x14ac:dyDescent="0.25">
      <c r="A231" s="35" t="s">
        <v>217</v>
      </c>
      <c r="B231" s="36">
        <v>1</v>
      </c>
      <c r="C231" s="36">
        <v>530</v>
      </c>
      <c r="D231" s="40">
        <v>5205</v>
      </c>
      <c r="E231" s="38">
        <f t="shared" si="63"/>
        <v>3353</v>
      </c>
      <c r="F231" s="38">
        <f t="shared" si="63"/>
        <v>3353</v>
      </c>
      <c r="G231" s="38">
        <f t="shared" si="63"/>
        <v>0</v>
      </c>
      <c r="H231" s="38">
        <v>0</v>
      </c>
      <c r="I231" s="38">
        <v>0</v>
      </c>
      <c r="J231" s="38">
        <f t="shared" si="64"/>
        <v>0</v>
      </c>
      <c r="K231" s="38">
        <v>0</v>
      </c>
      <c r="L231" s="38">
        <v>0</v>
      </c>
      <c r="M231" s="38">
        <f t="shared" si="65"/>
        <v>0</v>
      </c>
      <c r="N231" s="38">
        <v>0</v>
      </c>
      <c r="O231" s="38">
        <v>0</v>
      </c>
      <c r="P231" s="38">
        <f t="shared" si="66"/>
        <v>0</v>
      </c>
      <c r="Q231" s="38">
        <v>0</v>
      </c>
      <c r="R231" s="38">
        <v>0</v>
      </c>
      <c r="S231" s="38">
        <f t="shared" si="67"/>
        <v>0</v>
      </c>
      <c r="T231" s="38">
        <v>3353</v>
      </c>
      <c r="U231" s="38">
        <v>3353</v>
      </c>
      <c r="V231" s="38">
        <f t="shared" si="68"/>
        <v>0</v>
      </c>
      <c r="W231" s="38">
        <v>0</v>
      </c>
      <c r="X231" s="38">
        <v>0</v>
      </c>
      <c r="Y231" s="38">
        <f t="shared" si="69"/>
        <v>0</v>
      </c>
      <c r="Z231" s="38">
        <v>0</v>
      </c>
      <c r="AA231" s="38">
        <v>0</v>
      </c>
      <c r="AB231" s="38">
        <f t="shared" si="70"/>
        <v>0</v>
      </c>
      <c r="AC231" s="38">
        <v>0</v>
      </c>
      <c r="AD231" s="38">
        <v>0</v>
      </c>
      <c r="AE231" s="38">
        <f t="shared" si="71"/>
        <v>0</v>
      </c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</row>
    <row r="232" spans="1:255" ht="78.75" x14ac:dyDescent="0.25">
      <c r="A232" s="35" t="s">
        <v>218</v>
      </c>
      <c r="B232" s="36">
        <v>1</v>
      </c>
      <c r="C232" s="36">
        <v>550</v>
      </c>
      <c r="D232" s="40">
        <v>5205</v>
      </c>
      <c r="E232" s="38">
        <f t="shared" si="63"/>
        <v>9676</v>
      </c>
      <c r="F232" s="38">
        <f t="shared" si="63"/>
        <v>9882</v>
      </c>
      <c r="G232" s="38">
        <f t="shared" si="63"/>
        <v>206</v>
      </c>
      <c r="H232" s="38">
        <v>0</v>
      </c>
      <c r="I232" s="38">
        <v>0</v>
      </c>
      <c r="J232" s="38">
        <f t="shared" si="64"/>
        <v>0</v>
      </c>
      <c r="K232" s="38">
        <v>0</v>
      </c>
      <c r="L232" s="38">
        <v>0</v>
      </c>
      <c r="M232" s="38">
        <f t="shared" si="65"/>
        <v>0</v>
      </c>
      <c r="N232" s="38">
        <v>0</v>
      </c>
      <c r="O232" s="38">
        <v>0</v>
      </c>
      <c r="P232" s="38">
        <f t="shared" si="66"/>
        <v>0</v>
      </c>
      <c r="Q232" s="38">
        <v>0</v>
      </c>
      <c r="R232" s="38">
        <v>0</v>
      </c>
      <c r="S232" s="38">
        <f t="shared" si="67"/>
        <v>0</v>
      </c>
      <c r="T232" s="38">
        <v>9676</v>
      </c>
      <c r="U232" s="38">
        <f>9676+206</f>
        <v>9882</v>
      </c>
      <c r="V232" s="38">
        <f t="shared" si="68"/>
        <v>206</v>
      </c>
      <c r="W232" s="38">
        <v>0</v>
      </c>
      <c r="X232" s="38">
        <v>0</v>
      </c>
      <c r="Y232" s="38">
        <f t="shared" si="69"/>
        <v>0</v>
      </c>
      <c r="Z232" s="38">
        <v>0</v>
      </c>
      <c r="AA232" s="38">
        <v>0</v>
      </c>
      <c r="AB232" s="38">
        <f t="shared" si="70"/>
        <v>0</v>
      </c>
      <c r="AC232" s="38">
        <v>0</v>
      </c>
      <c r="AD232" s="38">
        <v>0</v>
      </c>
      <c r="AE232" s="38">
        <f t="shared" si="71"/>
        <v>0</v>
      </c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</row>
    <row r="233" spans="1:255" ht="94.5" x14ac:dyDescent="0.25">
      <c r="A233" s="42" t="s">
        <v>219</v>
      </c>
      <c r="B233" s="36"/>
      <c r="C233" s="36"/>
      <c r="D233" s="36"/>
      <c r="E233" s="31">
        <f t="shared" si="63"/>
        <v>2000</v>
      </c>
      <c r="F233" s="31">
        <f t="shared" si="63"/>
        <v>0</v>
      </c>
      <c r="G233" s="31">
        <f t="shared" si="63"/>
        <v>-2000</v>
      </c>
      <c r="H233" s="31">
        <v>0</v>
      </c>
      <c r="I233" s="31">
        <v>0</v>
      </c>
      <c r="J233" s="31">
        <f t="shared" si="64"/>
        <v>0</v>
      </c>
      <c r="K233" s="31">
        <v>0</v>
      </c>
      <c r="L233" s="31">
        <v>0</v>
      </c>
      <c r="M233" s="31">
        <f t="shared" si="65"/>
        <v>0</v>
      </c>
      <c r="N233" s="31">
        <v>0</v>
      </c>
      <c r="O233" s="31">
        <v>0</v>
      </c>
      <c r="P233" s="31">
        <f t="shared" si="66"/>
        <v>0</v>
      </c>
      <c r="Q233" s="31">
        <v>2000</v>
      </c>
      <c r="R233" s="31">
        <v>0</v>
      </c>
      <c r="S233" s="31">
        <f t="shared" si="67"/>
        <v>-2000</v>
      </c>
      <c r="T233" s="31">
        <v>0</v>
      </c>
      <c r="U233" s="31">
        <v>0</v>
      </c>
      <c r="V233" s="31">
        <f t="shared" si="68"/>
        <v>0</v>
      </c>
      <c r="W233" s="31">
        <v>0</v>
      </c>
      <c r="X233" s="31">
        <v>0</v>
      </c>
      <c r="Y233" s="31">
        <f t="shared" si="69"/>
        <v>0</v>
      </c>
      <c r="Z233" s="31">
        <v>0</v>
      </c>
      <c r="AA233" s="31">
        <v>0</v>
      </c>
      <c r="AB233" s="31">
        <f t="shared" si="70"/>
        <v>0</v>
      </c>
      <c r="AC233" s="31">
        <v>0</v>
      </c>
      <c r="AD233" s="31">
        <v>0</v>
      </c>
      <c r="AE233" s="31">
        <f t="shared" si="71"/>
        <v>0</v>
      </c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</row>
    <row r="234" spans="1:255" x14ac:dyDescent="0.25">
      <c r="A234" s="26" t="s">
        <v>174</v>
      </c>
      <c r="B234" s="34"/>
      <c r="C234" s="34"/>
      <c r="D234" s="34"/>
      <c r="E234" s="27">
        <f t="shared" si="63"/>
        <v>0</v>
      </c>
      <c r="F234" s="27">
        <f t="shared" si="63"/>
        <v>3096</v>
      </c>
      <c r="G234" s="27">
        <f t="shared" si="63"/>
        <v>3096</v>
      </c>
      <c r="H234" s="27">
        <f>SUM(H235)</f>
        <v>0</v>
      </c>
      <c r="I234" s="27">
        <f>SUM(I235)</f>
        <v>0</v>
      </c>
      <c r="J234" s="27">
        <f t="shared" si="64"/>
        <v>0</v>
      </c>
      <c r="K234" s="27">
        <f>SUM(K235)</f>
        <v>0</v>
      </c>
      <c r="L234" s="27">
        <f>SUM(L235)</f>
        <v>0</v>
      </c>
      <c r="M234" s="27">
        <f t="shared" si="65"/>
        <v>0</v>
      </c>
      <c r="N234" s="27">
        <f>SUM(N235)</f>
        <v>0</v>
      </c>
      <c r="O234" s="27">
        <f>SUM(O235)</f>
        <v>0</v>
      </c>
      <c r="P234" s="27">
        <f t="shared" si="66"/>
        <v>0</v>
      </c>
      <c r="Q234" s="27">
        <f>SUM(Q235)</f>
        <v>0</v>
      </c>
      <c r="R234" s="27">
        <f>SUM(R235)</f>
        <v>3096</v>
      </c>
      <c r="S234" s="27">
        <f t="shared" si="67"/>
        <v>3096</v>
      </c>
      <c r="T234" s="27">
        <f>SUM(T235)</f>
        <v>0</v>
      </c>
      <c r="U234" s="27">
        <f>SUM(U235)</f>
        <v>0</v>
      </c>
      <c r="V234" s="27">
        <f t="shared" si="68"/>
        <v>0</v>
      </c>
      <c r="W234" s="27">
        <f>SUM(W235)</f>
        <v>0</v>
      </c>
      <c r="X234" s="27">
        <f>SUM(X235)</f>
        <v>0</v>
      </c>
      <c r="Y234" s="27">
        <f t="shared" si="69"/>
        <v>0</v>
      </c>
      <c r="Z234" s="27">
        <f>SUM(Z235)</f>
        <v>0</v>
      </c>
      <c r="AA234" s="27">
        <f>SUM(AA235)</f>
        <v>0</v>
      </c>
      <c r="AB234" s="27">
        <f t="shared" si="70"/>
        <v>0</v>
      </c>
      <c r="AC234" s="27">
        <f>SUM(AC235)</f>
        <v>0</v>
      </c>
      <c r="AD234" s="27">
        <f>SUM(AD235)</f>
        <v>0</v>
      </c>
      <c r="AE234" s="27">
        <f t="shared" si="71"/>
        <v>0</v>
      </c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</row>
    <row r="235" spans="1:255" ht="94.5" x14ac:dyDescent="0.25">
      <c r="A235" s="42" t="s">
        <v>220</v>
      </c>
      <c r="B235" s="36">
        <v>1</v>
      </c>
      <c r="C235" s="36">
        <v>550</v>
      </c>
      <c r="D235" s="36">
        <v>5219</v>
      </c>
      <c r="E235" s="31">
        <f>H235+K235+N235+Q235+T235+W235+Z235+AC235</f>
        <v>0</v>
      </c>
      <c r="F235" s="31">
        <f>I235+L235+O235+R235+U235+X235+AA235+AD235</f>
        <v>3096</v>
      </c>
      <c r="G235" s="31">
        <f>J235+M235+P235+S235+V235+Y235+AB235+AE235</f>
        <v>3096</v>
      </c>
      <c r="H235" s="31">
        <v>0</v>
      </c>
      <c r="I235" s="31">
        <v>0</v>
      </c>
      <c r="J235" s="31">
        <f>I235-H235</f>
        <v>0</v>
      </c>
      <c r="K235" s="31">
        <v>0</v>
      </c>
      <c r="L235" s="31">
        <v>0</v>
      </c>
      <c r="M235" s="31">
        <f>L235-K235</f>
        <v>0</v>
      </c>
      <c r="N235" s="31"/>
      <c r="O235" s="31"/>
      <c r="P235" s="31">
        <f>O235-N235</f>
        <v>0</v>
      </c>
      <c r="Q235" s="31">
        <v>0</v>
      </c>
      <c r="R235" s="31">
        <v>3096</v>
      </c>
      <c r="S235" s="31">
        <f>R235-Q235</f>
        <v>3096</v>
      </c>
      <c r="T235" s="31"/>
      <c r="U235" s="31"/>
      <c r="V235" s="31">
        <f>U235-T235</f>
        <v>0</v>
      </c>
      <c r="W235" s="31">
        <v>0</v>
      </c>
      <c r="X235" s="31">
        <v>0</v>
      </c>
      <c r="Y235" s="31">
        <f>X235-W235</f>
        <v>0</v>
      </c>
      <c r="Z235" s="31">
        <v>0</v>
      </c>
      <c r="AA235" s="31">
        <v>0</v>
      </c>
      <c r="AB235" s="31">
        <f>AA235-Z235</f>
        <v>0</v>
      </c>
      <c r="AC235" s="31"/>
      <c r="AD235" s="31"/>
      <c r="AE235" s="31">
        <f>AD235-AC235</f>
        <v>0</v>
      </c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</row>
    <row r="236" spans="1:255" ht="31.5" x14ac:dyDescent="0.25">
      <c r="A236" s="26" t="s">
        <v>81</v>
      </c>
      <c r="B236" s="34"/>
      <c r="C236" s="34"/>
      <c r="D236" s="34"/>
      <c r="E236" s="27">
        <f t="shared" si="63"/>
        <v>22517278</v>
      </c>
      <c r="F236" s="27">
        <f t="shared" si="63"/>
        <v>22660744</v>
      </c>
      <c r="G236" s="27">
        <f t="shared" si="63"/>
        <v>143466</v>
      </c>
      <c r="H236" s="27">
        <f>SUM(H241,H245,H255,H249,H237)</f>
        <v>1004020</v>
      </c>
      <c r="I236" s="27">
        <f>SUM(I241,I245,I255,I249,I237)</f>
        <v>926261</v>
      </c>
      <c r="J236" s="27">
        <f t="shared" si="64"/>
        <v>-77759</v>
      </c>
      <c r="K236" s="27">
        <f t="shared" ref="K236:L236" si="72">SUM(K241,K245,K255,K249,K237)</f>
        <v>392281</v>
      </c>
      <c r="L236" s="27">
        <f t="shared" si="72"/>
        <v>392281</v>
      </c>
      <c r="M236" s="27">
        <f t="shared" ref="M236" si="73">L236-K236</f>
        <v>0</v>
      </c>
      <c r="N236" s="27">
        <f t="shared" ref="N236:O236" si="74">SUM(N241,N245,N255,N249,N237)</f>
        <v>1575323</v>
      </c>
      <c r="O236" s="27">
        <f t="shared" si="74"/>
        <v>1475770</v>
      </c>
      <c r="P236" s="27">
        <f t="shared" ref="P236" si="75">O236-N236</f>
        <v>-99553</v>
      </c>
      <c r="Q236" s="27">
        <f t="shared" ref="Q236:R236" si="76">SUM(Q241,Q245,Q255,Q249,Q237)</f>
        <v>7651891</v>
      </c>
      <c r="R236" s="27">
        <f t="shared" si="76"/>
        <v>7651891</v>
      </c>
      <c r="S236" s="27">
        <f t="shared" ref="S236" si="77">R236-Q236</f>
        <v>0</v>
      </c>
      <c r="T236" s="27">
        <f t="shared" ref="T236:U236" si="78">SUM(T241,T245,T255,T249,T237)</f>
        <v>0</v>
      </c>
      <c r="U236" s="27">
        <f t="shared" si="78"/>
        <v>0</v>
      </c>
      <c r="V236" s="27">
        <f t="shared" ref="V236" si="79">U236-T236</f>
        <v>0</v>
      </c>
      <c r="W236" s="27">
        <f t="shared" ref="W236:X236" si="80">SUM(W241,W245,W255,W249,W237)</f>
        <v>3495260</v>
      </c>
      <c r="X236" s="27">
        <f t="shared" si="80"/>
        <v>3495260</v>
      </c>
      <c r="Y236" s="27">
        <f t="shared" ref="Y236" si="81">X236-W236</f>
        <v>0</v>
      </c>
      <c r="Z236" s="27">
        <f t="shared" ref="Z236:AA236" si="82">SUM(Z241,Z245,Z255,Z249,Z237)</f>
        <v>29976</v>
      </c>
      <c r="AA236" s="27">
        <f t="shared" si="82"/>
        <v>29976</v>
      </c>
      <c r="AB236" s="27">
        <f t="shared" ref="AB236" si="83">AA236-Z236</f>
        <v>0</v>
      </c>
      <c r="AC236" s="27">
        <f t="shared" ref="AC236:AD236" si="84">SUM(AC241,AC245,AC255,AC249,AC237)</f>
        <v>8368527</v>
      </c>
      <c r="AD236" s="27">
        <f t="shared" si="84"/>
        <v>8689305</v>
      </c>
      <c r="AE236" s="27">
        <f t="shared" ref="AE236" si="85">AD236-AC236</f>
        <v>320778</v>
      </c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</row>
    <row r="237" spans="1:255" x14ac:dyDescent="0.25">
      <c r="A237" s="26" t="s">
        <v>110</v>
      </c>
      <c r="B237" s="34"/>
      <c r="C237" s="34"/>
      <c r="D237" s="34"/>
      <c r="E237" s="27">
        <f t="shared" si="63"/>
        <v>3967</v>
      </c>
      <c r="F237" s="27">
        <f t="shared" si="63"/>
        <v>4998</v>
      </c>
      <c r="G237" s="27">
        <f t="shared" si="63"/>
        <v>1031</v>
      </c>
      <c r="H237" s="27">
        <f>SUM(H238:H240)</f>
        <v>0</v>
      </c>
      <c r="I237" s="27">
        <f>SUM(I238:I240)</f>
        <v>0</v>
      </c>
      <c r="J237" s="27">
        <f t="shared" si="64"/>
        <v>0</v>
      </c>
      <c r="K237" s="27">
        <f>SUM(K238:K240)</f>
        <v>0</v>
      </c>
      <c r="L237" s="27">
        <f>SUM(L238:L240)</f>
        <v>0</v>
      </c>
      <c r="M237" s="27">
        <f t="shared" si="65"/>
        <v>0</v>
      </c>
      <c r="N237" s="27">
        <f>SUM(N238:N240)</f>
        <v>3967</v>
      </c>
      <c r="O237" s="27">
        <f>SUM(O238:O240)</f>
        <v>4998</v>
      </c>
      <c r="P237" s="27">
        <f t="shared" si="66"/>
        <v>1031</v>
      </c>
      <c r="Q237" s="27">
        <f>SUM(Q238:Q240)</f>
        <v>0</v>
      </c>
      <c r="R237" s="27">
        <f>SUM(R238:R240)</f>
        <v>0</v>
      </c>
      <c r="S237" s="27">
        <f t="shared" si="67"/>
        <v>0</v>
      </c>
      <c r="T237" s="27">
        <f>SUM(T238:T240)</f>
        <v>0</v>
      </c>
      <c r="U237" s="27">
        <f>SUM(U238:U240)</f>
        <v>0</v>
      </c>
      <c r="V237" s="27">
        <f t="shared" si="68"/>
        <v>0</v>
      </c>
      <c r="W237" s="27">
        <f>SUM(W238:W240)</f>
        <v>0</v>
      </c>
      <c r="X237" s="27">
        <f>SUM(X238:X240)</f>
        <v>0</v>
      </c>
      <c r="Y237" s="27">
        <f t="shared" si="69"/>
        <v>0</v>
      </c>
      <c r="Z237" s="27">
        <f>SUM(Z238:Z240)</f>
        <v>0</v>
      </c>
      <c r="AA237" s="27">
        <f>SUM(AA238:AA240)</f>
        <v>0</v>
      </c>
      <c r="AB237" s="27">
        <f t="shared" si="70"/>
        <v>0</v>
      </c>
      <c r="AC237" s="27">
        <f>SUM(AC238:AC240)</f>
        <v>0</v>
      </c>
      <c r="AD237" s="27">
        <f>SUM(AD238:AD240)</f>
        <v>0</v>
      </c>
      <c r="AE237" s="27">
        <f t="shared" si="71"/>
        <v>0</v>
      </c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</row>
    <row r="238" spans="1:255" ht="33" customHeight="1" x14ac:dyDescent="0.25">
      <c r="A238" s="35" t="s">
        <v>221</v>
      </c>
      <c r="B238" s="36">
        <v>2</v>
      </c>
      <c r="C238" s="36">
        <v>622</v>
      </c>
      <c r="D238" s="36">
        <v>5201</v>
      </c>
      <c r="E238" s="38">
        <f t="shared" si="63"/>
        <v>1367</v>
      </c>
      <c r="F238" s="38">
        <f t="shared" si="63"/>
        <v>1367</v>
      </c>
      <c r="G238" s="38">
        <f t="shared" si="63"/>
        <v>0</v>
      </c>
      <c r="H238" s="38">
        <v>0</v>
      </c>
      <c r="I238" s="38">
        <v>0</v>
      </c>
      <c r="J238" s="38">
        <f t="shared" si="64"/>
        <v>0</v>
      </c>
      <c r="K238" s="38">
        <v>0</v>
      </c>
      <c r="L238" s="38">
        <v>0</v>
      </c>
      <c r="M238" s="38">
        <f t="shared" si="65"/>
        <v>0</v>
      </c>
      <c r="N238" s="38">
        <v>1367</v>
      </c>
      <c r="O238" s="38">
        <v>1367</v>
      </c>
      <c r="P238" s="38">
        <f t="shared" si="66"/>
        <v>0</v>
      </c>
      <c r="Q238" s="38">
        <v>0</v>
      </c>
      <c r="R238" s="38">
        <v>0</v>
      </c>
      <c r="S238" s="38">
        <f t="shared" si="67"/>
        <v>0</v>
      </c>
      <c r="T238" s="38">
        <v>0</v>
      </c>
      <c r="U238" s="38">
        <v>0</v>
      </c>
      <c r="V238" s="38">
        <f t="shared" si="68"/>
        <v>0</v>
      </c>
      <c r="W238" s="38">
        <v>0</v>
      </c>
      <c r="X238" s="38">
        <v>0</v>
      </c>
      <c r="Y238" s="38">
        <f t="shared" si="69"/>
        <v>0</v>
      </c>
      <c r="Z238" s="38">
        <v>0</v>
      </c>
      <c r="AA238" s="38">
        <v>0</v>
      </c>
      <c r="AB238" s="38">
        <f t="shared" si="70"/>
        <v>0</v>
      </c>
      <c r="AC238" s="38">
        <v>0</v>
      </c>
      <c r="AD238" s="38">
        <v>0</v>
      </c>
      <c r="AE238" s="38">
        <f t="shared" si="71"/>
        <v>0</v>
      </c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</row>
    <row r="239" spans="1:255" ht="31.5" x14ac:dyDescent="0.25">
      <c r="A239" s="35" t="s">
        <v>113</v>
      </c>
      <c r="B239" s="36">
        <v>2</v>
      </c>
      <c r="C239" s="36">
        <v>623</v>
      </c>
      <c r="D239" s="36">
        <v>5201</v>
      </c>
      <c r="E239" s="38">
        <f t="shared" si="63"/>
        <v>0</v>
      </c>
      <c r="F239" s="38">
        <f t="shared" si="63"/>
        <v>1031</v>
      </c>
      <c r="G239" s="38">
        <f t="shared" si="63"/>
        <v>1031</v>
      </c>
      <c r="H239" s="38">
        <v>0</v>
      </c>
      <c r="I239" s="38">
        <v>0</v>
      </c>
      <c r="J239" s="38">
        <f t="shared" si="64"/>
        <v>0</v>
      </c>
      <c r="K239" s="38">
        <v>0</v>
      </c>
      <c r="L239" s="38">
        <v>0</v>
      </c>
      <c r="M239" s="38">
        <f t="shared" si="65"/>
        <v>0</v>
      </c>
      <c r="N239" s="38">
        <v>0</v>
      </c>
      <c r="O239" s="38">
        <v>1031</v>
      </c>
      <c r="P239" s="38">
        <f t="shared" si="66"/>
        <v>1031</v>
      </c>
      <c r="Q239" s="38">
        <v>0</v>
      </c>
      <c r="R239" s="38">
        <v>0</v>
      </c>
      <c r="S239" s="38">
        <f t="shared" si="67"/>
        <v>0</v>
      </c>
      <c r="T239" s="38">
        <v>0</v>
      </c>
      <c r="U239" s="38">
        <v>0</v>
      </c>
      <c r="V239" s="38">
        <f t="shared" si="68"/>
        <v>0</v>
      </c>
      <c r="W239" s="38">
        <v>0</v>
      </c>
      <c r="X239" s="38">
        <v>0</v>
      </c>
      <c r="Y239" s="38">
        <f t="shared" si="69"/>
        <v>0</v>
      </c>
      <c r="Z239" s="38">
        <v>0</v>
      </c>
      <c r="AA239" s="38">
        <v>0</v>
      </c>
      <c r="AB239" s="38">
        <f t="shared" si="70"/>
        <v>0</v>
      </c>
      <c r="AC239" s="38">
        <v>0</v>
      </c>
      <c r="AD239" s="38">
        <v>0</v>
      </c>
      <c r="AE239" s="38">
        <f t="shared" si="71"/>
        <v>0</v>
      </c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</row>
    <row r="240" spans="1:255" ht="30" customHeight="1" x14ac:dyDescent="0.25">
      <c r="A240" s="35" t="s">
        <v>222</v>
      </c>
      <c r="B240" s="36">
        <v>2</v>
      </c>
      <c r="C240" s="36">
        <v>623</v>
      </c>
      <c r="D240" s="36">
        <v>5201</v>
      </c>
      <c r="E240" s="38">
        <f t="shared" si="63"/>
        <v>2600</v>
      </c>
      <c r="F240" s="38">
        <f t="shared" si="63"/>
        <v>2600</v>
      </c>
      <c r="G240" s="38">
        <f t="shared" si="63"/>
        <v>0</v>
      </c>
      <c r="H240" s="38">
        <v>0</v>
      </c>
      <c r="I240" s="38">
        <v>0</v>
      </c>
      <c r="J240" s="38">
        <f t="shared" si="64"/>
        <v>0</v>
      </c>
      <c r="K240" s="38">
        <v>0</v>
      </c>
      <c r="L240" s="38">
        <v>0</v>
      </c>
      <c r="M240" s="38">
        <f t="shared" si="65"/>
        <v>0</v>
      </c>
      <c r="N240" s="38">
        <v>2600</v>
      </c>
      <c r="O240" s="38">
        <v>2600</v>
      </c>
      <c r="P240" s="38">
        <f t="shared" si="66"/>
        <v>0</v>
      </c>
      <c r="Q240" s="38">
        <v>0</v>
      </c>
      <c r="R240" s="38">
        <v>0</v>
      </c>
      <c r="S240" s="38">
        <f t="shared" si="67"/>
        <v>0</v>
      </c>
      <c r="T240" s="38">
        <v>0</v>
      </c>
      <c r="U240" s="38">
        <v>0</v>
      </c>
      <c r="V240" s="38">
        <f t="shared" si="68"/>
        <v>0</v>
      </c>
      <c r="W240" s="38">
        <v>0</v>
      </c>
      <c r="X240" s="38">
        <v>0</v>
      </c>
      <c r="Y240" s="38">
        <f t="shared" si="69"/>
        <v>0</v>
      </c>
      <c r="Z240" s="38">
        <v>0</v>
      </c>
      <c r="AA240" s="38">
        <v>0</v>
      </c>
      <c r="AB240" s="38">
        <f t="shared" si="70"/>
        <v>0</v>
      </c>
      <c r="AC240" s="38">
        <v>0</v>
      </c>
      <c r="AD240" s="38">
        <v>0</v>
      </c>
      <c r="AE240" s="38">
        <f t="shared" si="71"/>
        <v>0</v>
      </c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</row>
    <row r="241" spans="1:255" ht="31.5" x14ac:dyDescent="0.25">
      <c r="A241" s="26" t="s">
        <v>118</v>
      </c>
      <c r="B241" s="34"/>
      <c r="C241" s="34"/>
      <c r="D241" s="34"/>
      <c r="E241" s="27">
        <f t="shared" si="63"/>
        <v>483280</v>
      </c>
      <c r="F241" s="27">
        <f t="shared" si="63"/>
        <v>484810</v>
      </c>
      <c r="G241" s="27">
        <f t="shared" si="63"/>
        <v>1530</v>
      </c>
      <c r="H241" s="27">
        <f>SUM(H242:H244)</f>
        <v>0</v>
      </c>
      <c r="I241" s="27">
        <f>SUM(I242:I244)</f>
        <v>0</v>
      </c>
      <c r="J241" s="27">
        <f t="shared" si="64"/>
        <v>0</v>
      </c>
      <c r="K241" s="27">
        <f>SUM(K242:K244)</f>
        <v>0</v>
      </c>
      <c r="L241" s="27">
        <f>SUM(L242:L244)</f>
        <v>0</v>
      </c>
      <c r="M241" s="27">
        <f t="shared" si="65"/>
        <v>0</v>
      </c>
      <c r="N241" s="27">
        <f>SUM(N242:N244)</f>
        <v>2280</v>
      </c>
      <c r="O241" s="27">
        <f>SUM(O242:O244)</f>
        <v>3810</v>
      </c>
      <c r="P241" s="27">
        <f t="shared" si="66"/>
        <v>1530</v>
      </c>
      <c r="Q241" s="27">
        <f>SUM(Q242:Q244)</f>
        <v>481000</v>
      </c>
      <c r="R241" s="27">
        <f>SUM(R242:R244)</f>
        <v>481000</v>
      </c>
      <c r="S241" s="27">
        <f t="shared" si="67"/>
        <v>0</v>
      </c>
      <c r="T241" s="27">
        <f>SUM(T242:T244)</f>
        <v>0</v>
      </c>
      <c r="U241" s="27">
        <f>SUM(U242:U244)</f>
        <v>0</v>
      </c>
      <c r="V241" s="27">
        <f t="shared" si="68"/>
        <v>0</v>
      </c>
      <c r="W241" s="27">
        <f>SUM(W242:W244)</f>
        <v>0</v>
      </c>
      <c r="X241" s="27">
        <f>SUM(X242:X244)</f>
        <v>0</v>
      </c>
      <c r="Y241" s="27">
        <f t="shared" si="69"/>
        <v>0</v>
      </c>
      <c r="Z241" s="27">
        <f>SUM(Z242:Z244)</f>
        <v>0</v>
      </c>
      <c r="AA241" s="27">
        <f>SUM(AA242:AA244)</f>
        <v>0</v>
      </c>
      <c r="AB241" s="27">
        <f t="shared" si="70"/>
        <v>0</v>
      </c>
      <c r="AC241" s="27">
        <f>SUM(AC242:AC244)</f>
        <v>0</v>
      </c>
      <c r="AD241" s="27">
        <f>SUM(AD242:AD244)</f>
        <v>0</v>
      </c>
      <c r="AE241" s="27">
        <f t="shared" si="71"/>
        <v>0</v>
      </c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  <c r="IQ241" s="25"/>
      <c r="IR241" s="25"/>
      <c r="IS241" s="25"/>
      <c r="IT241" s="25"/>
      <c r="IU241" s="25"/>
    </row>
    <row r="242" spans="1:255" ht="31.5" x14ac:dyDescent="0.25">
      <c r="A242" s="39" t="s">
        <v>223</v>
      </c>
      <c r="B242" s="37">
        <v>2</v>
      </c>
      <c r="C242" s="37">
        <v>623</v>
      </c>
      <c r="D242" s="37">
        <v>5203</v>
      </c>
      <c r="E242" s="38">
        <f t="shared" si="63"/>
        <v>0</v>
      </c>
      <c r="F242" s="38">
        <f t="shared" si="63"/>
        <v>1530</v>
      </c>
      <c r="G242" s="38">
        <f t="shared" si="63"/>
        <v>1530</v>
      </c>
      <c r="H242" s="38">
        <v>0</v>
      </c>
      <c r="I242" s="38">
        <v>0</v>
      </c>
      <c r="J242" s="38">
        <f t="shared" si="64"/>
        <v>0</v>
      </c>
      <c r="K242" s="38">
        <v>0</v>
      </c>
      <c r="L242" s="38">
        <v>0</v>
      </c>
      <c r="M242" s="38">
        <f t="shared" si="65"/>
        <v>0</v>
      </c>
      <c r="N242" s="38">
        <v>0</v>
      </c>
      <c r="O242" s="38">
        <v>1530</v>
      </c>
      <c r="P242" s="38">
        <f t="shared" si="66"/>
        <v>1530</v>
      </c>
      <c r="Q242" s="38">
        <v>0</v>
      </c>
      <c r="R242" s="38">
        <v>0</v>
      </c>
      <c r="S242" s="38">
        <f t="shared" si="67"/>
        <v>0</v>
      </c>
      <c r="T242" s="38">
        <v>0</v>
      </c>
      <c r="U242" s="38">
        <v>0</v>
      </c>
      <c r="V242" s="38">
        <f t="shared" si="68"/>
        <v>0</v>
      </c>
      <c r="W242" s="38">
        <v>0</v>
      </c>
      <c r="X242" s="38">
        <v>0</v>
      </c>
      <c r="Y242" s="38">
        <f t="shared" si="69"/>
        <v>0</v>
      </c>
      <c r="Z242" s="38">
        <v>0</v>
      </c>
      <c r="AA242" s="38">
        <v>0</v>
      </c>
      <c r="AB242" s="38">
        <f t="shared" si="70"/>
        <v>0</v>
      </c>
      <c r="AC242" s="38">
        <v>0</v>
      </c>
      <c r="AD242" s="38">
        <v>0</v>
      </c>
      <c r="AE242" s="38">
        <f t="shared" si="71"/>
        <v>0</v>
      </c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</row>
    <row r="243" spans="1:255" ht="31.5" x14ac:dyDescent="0.25">
      <c r="A243" s="39" t="s">
        <v>224</v>
      </c>
      <c r="B243" s="37">
        <v>2</v>
      </c>
      <c r="C243" s="37">
        <v>619</v>
      </c>
      <c r="D243" s="37">
        <v>5203</v>
      </c>
      <c r="E243" s="38">
        <f t="shared" si="63"/>
        <v>2280</v>
      </c>
      <c r="F243" s="38">
        <f t="shared" si="63"/>
        <v>2280</v>
      </c>
      <c r="G243" s="38">
        <f t="shared" si="63"/>
        <v>0</v>
      </c>
      <c r="H243" s="38">
        <v>0</v>
      </c>
      <c r="I243" s="38">
        <v>0</v>
      </c>
      <c r="J243" s="38">
        <f t="shared" si="64"/>
        <v>0</v>
      </c>
      <c r="K243" s="38">
        <v>0</v>
      </c>
      <c r="L243" s="38">
        <v>0</v>
      </c>
      <c r="M243" s="38">
        <f t="shared" si="65"/>
        <v>0</v>
      </c>
      <c r="N243" s="38">
        <v>2280</v>
      </c>
      <c r="O243" s="38">
        <v>2280</v>
      </c>
      <c r="P243" s="38">
        <f t="shared" si="66"/>
        <v>0</v>
      </c>
      <c r="Q243" s="38"/>
      <c r="R243" s="38"/>
      <c r="S243" s="38">
        <f t="shared" si="67"/>
        <v>0</v>
      </c>
      <c r="T243" s="38">
        <v>0</v>
      </c>
      <c r="U243" s="38">
        <v>0</v>
      </c>
      <c r="V243" s="38">
        <f t="shared" si="68"/>
        <v>0</v>
      </c>
      <c r="W243" s="38">
        <v>0</v>
      </c>
      <c r="X243" s="38">
        <v>0</v>
      </c>
      <c r="Y243" s="38">
        <f t="shared" si="69"/>
        <v>0</v>
      </c>
      <c r="Z243" s="38">
        <v>0</v>
      </c>
      <c r="AA243" s="38">
        <v>0</v>
      </c>
      <c r="AB243" s="38">
        <f t="shared" si="70"/>
        <v>0</v>
      </c>
      <c r="AC243" s="38">
        <v>0</v>
      </c>
      <c r="AD243" s="38">
        <v>0</v>
      </c>
      <c r="AE243" s="38">
        <f t="shared" si="71"/>
        <v>0</v>
      </c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</row>
    <row r="244" spans="1:255" ht="78.75" x14ac:dyDescent="0.25">
      <c r="A244" s="39" t="s">
        <v>225</v>
      </c>
      <c r="B244" s="37"/>
      <c r="C244" s="37"/>
      <c r="D244" s="37"/>
      <c r="E244" s="38">
        <f t="shared" si="63"/>
        <v>481000</v>
      </c>
      <c r="F244" s="38">
        <f t="shared" si="63"/>
        <v>481000</v>
      </c>
      <c r="G244" s="38">
        <f t="shared" si="63"/>
        <v>0</v>
      </c>
      <c r="H244" s="38">
        <v>0</v>
      </c>
      <c r="I244" s="38">
        <v>0</v>
      </c>
      <c r="J244" s="38">
        <f t="shared" si="64"/>
        <v>0</v>
      </c>
      <c r="K244" s="38">
        <v>0</v>
      </c>
      <c r="L244" s="38">
        <v>0</v>
      </c>
      <c r="M244" s="38">
        <f t="shared" si="65"/>
        <v>0</v>
      </c>
      <c r="N244" s="38">
        <v>0</v>
      </c>
      <c r="O244" s="38">
        <v>0</v>
      </c>
      <c r="P244" s="38">
        <f t="shared" si="66"/>
        <v>0</v>
      </c>
      <c r="Q244" s="38">
        <v>481000</v>
      </c>
      <c r="R244" s="38">
        <v>481000</v>
      </c>
      <c r="S244" s="38">
        <f t="shared" si="67"/>
        <v>0</v>
      </c>
      <c r="T244" s="38">
        <v>0</v>
      </c>
      <c r="U244" s="38">
        <v>0</v>
      </c>
      <c r="V244" s="38">
        <f t="shared" si="68"/>
        <v>0</v>
      </c>
      <c r="W244" s="38">
        <v>0</v>
      </c>
      <c r="X244" s="38">
        <v>0</v>
      </c>
      <c r="Y244" s="38">
        <f t="shared" si="69"/>
        <v>0</v>
      </c>
      <c r="Z244" s="38">
        <v>0</v>
      </c>
      <c r="AA244" s="38">
        <v>0</v>
      </c>
      <c r="AB244" s="38">
        <f t="shared" si="70"/>
        <v>0</v>
      </c>
      <c r="AC244" s="38">
        <v>0</v>
      </c>
      <c r="AD244" s="38">
        <v>0</v>
      </c>
      <c r="AE244" s="38">
        <f t="shared" si="71"/>
        <v>0</v>
      </c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</row>
    <row r="245" spans="1:255" x14ac:dyDescent="0.25">
      <c r="A245" s="26" t="s">
        <v>127</v>
      </c>
      <c r="B245" s="34"/>
      <c r="C245" s="34"/>
      <c r="D245" s="34"/>
      <c r="E245" s="27">
        <f t="shared" si="63"/>
        <v>350532</v>
      </c>
      <c r="F245" s="27">
        <f t="shared" si="63"/>
        <v>350532</v>
      </c>
      <c r="G245" s="27">
        <f t="shared" si="63"/>
        <v>0</v>
      </c>
      <c r="H245" s="27">
        <f>SUM(H246:H248)</f>
        <v>0</v>
      </c>
      <c r="I245" s="27">
        <f>SUM(I246:I248)</f>
        <v>0</v>
      </c>
      <c r="J245" s="27">
        <f t="shared" si="64"/>
        <v>0</v>
      </c>
      <c r="K245" s="27">
        <f>SUM(K246:K248)</f>
        <v>0</v>
      </c>
      <c r="L245" s="27">
        <f>SUM(L246:L248)</f>
        <v>0</v>
      </c>
      <c r="M245" s="27">
        <f t="shared" si="65"/>
        <v>0</v>
      </c>
      <c r="N245" s="27">
        <f>SUM(N246:N248)</f>
        <v>350532</v>
      </c>
      <c r="O245" s="27">
        <f>SUM(O246:O248)</f>
        <v>350532</v>
      </c>
      <c r="P245" s="27">
        <f t="shared" si="66"/>
        <v>0</v>
      </c>
      <c r="Q245" s="27">
        <f>SUM(Q246:Q248)</f>
        <v>0</v>
      </c>
      <c r="R245" s="27">
        <f>SUM(R246:R248)</f>
        <v>0</v>
      </c>
      <c r="S245" s="27">
        <f t="shared" si="67"/>
        <v>0</v>
      </c>
      <c r="T245" s="27">
        <f>SUM(T246:T248)</f>
        <v>0</v>
      </c>
      <c r="U245" s="27">
        <f>SUM(U246:U248)</f>
        <v>0</v>
      </c>
      <c r="V245" s="27">
        <f t="shared" si="68"/>
        <v>0</v>
      </c>
      <c r="W245" s="27">
        <f>SUM(W246:W248)</f>
        <v>0</v>
      </c>
      <c r="X245" s="27">
        <f>SUM(X246:X248)</f>
        <v>0</v>
      </c>
      <c r="Y245" s="27">
        <f t="shared" si="69"/>
        <v>0</v>
      </c>
      <c r="Z245" s="27">
        <f>SUM(Z246:Z248)</f>
        <v>0</v>
      </c>
      <c r="AA245" s="27">
        <f>SUM(AA246:AA248)</f>
        <v>0</v>
      </c>
      <c r="AB245" s="27">
        <f t="shared" si="70"/>
        <v>0</v>
      </c>
      <c r="AC245" s="27">
        <f>SUM(AC246:AC248)</f>
        <v>0</v>
      </c>
      <c r="AD245" s="27">
        <f>SUM(AD246:AD248)</f>
        <v>0</v>
      </c>
      <c r="AE245" s="27">
        <f t="shared" si="71"/>
        <v>0</v>
      </c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</row>
    <row r="246" spans="1:255" ht="31.5" x14ac:dyDescent="0.25">
      <c r="A246" s="39" t="s">
        <v>226</v>
      </c>
      <c r="B246" s="37">
        <v>2</v>
      </c>
      <c r="C246" s="37">
        <v>619</v>
      </c>
      <c r="D246" s="37">
        <v>5204</v>
      </c>
      <c r="E246" s="38">
        <f t="shared" si="63"/>
        <v>63216</v>
      </c>
      <c r="F246" s="38">
        <f t="shared" si="63"/>
        <v>63216</v>
      </c>
      <c r="G246" s="38">
        <f t="shared" si="63"/>
        <v>0</v>
      </c>
      <c r="H246" s="38">
        <v>0</v>
      </c>
      <c r="I246" s="38">
        <v>0</v>
      </c>
      <c r="J246" s="38">
        <f t="shared" si="64"/>
        <v>0</v>
      </c>
      <c r="K246" s="38">
        <v>0</v>
      </c>
      <c r="L246" s="38">
        <v>0</v>
      </c>
      <c r="M246" s="38">
        <f t="shared" si="65"/>
        <v>0</v>
      </c>
      <c r="N246" s="38">
        <f>60000+3216</f>
        <v>63216</v>
      </c>
      <c r="O246" s="38">
        <f>60000+3216</f>
        <v>63216</v>
      </c>
      <c r="P246" s="38">
        <f t="shared" si="66"/>
        <v>0</v>
      </c>
      <c r="Q246" s="38">
        <v>0</v>
      </c>
      <c r="R246" s="38">
        <v>0</v>
      </c>
      <c r="S246" s="38">
        <f t="shared" si="67"/>
        <v>0</v>
      </c>
      <c r="T246" s="38">
        <v>0</v>
      </c>
      <c r="U246" s="38">
        <v>0</v>
      </c>
      <c r="V246" s="38">
        <f t="shared" si="68"/>
        <v>0</v>
      </c>
      <c r="W246" s="38">
        <v>0</v>
      </c>
      <c r="X246" s="38">
        <v>0</v>
      </c>
      <c r="Y246" s="38">
        <f t="shared" si="69"/>
        <v>0</v>
      </c>
      <c r="Z246" s="38">
        <v>0</v>
      </c>
      <c r="AA246" s="38">
        <v>0</v>
      </c>
      <c r="AB246" s="38">
        <f t="shared" si="70"/>
        <v>0</v>
      </c>
      <c r="AC246" s="38">
        <v>0</v>
      </c>
      <c r="AD246" s="38">
        <v>0</v>
      </c>
      <c r="AE246" s="38">
        <f t="shared" si="71"/>
        <v>0</v>
      </c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</row>
    <row r="247" spans="1:255" ht="31.5" x14ac:dyDescent="0.25">
      <c r="A247" s="39" t="s">
        <v>227</v>
      </c>
      <c r="B247" s="37">
        <v>2</v>
      </c>
      <c r="C247" s="37">
        <v>623</v>
      </c>
      <c r="D247" s="37">
        <v>5204</v>
      </c>
      <c r="E247" s="38">
        <f t="shared" si="63"/>
        <v>45816</v>
      </c>
      <c r="F247" s="38">
        <f t="shared" si="63"/>
        <v>45816</v>
      </c>
      <c r="G247" s="38">
        <f t="shared" si="63"/>
        <v>0</v>
      </c>
      <c r="H247" s="38">
        <v>0</v>
      </c>
      <c r="I247" s="38">
        <v>0</v>
      </c>
      <c r="J247" s="38">
        <f t="shared" si="64"/>
        <v>0</v>
      </c>
      <c r="K247" s="38">
        <v>0</v>
      </c>
      <c r="L247" s="38">
        <v>0</v>
      </c>
      <c r="M247" s="38">
        <f t="shared" si="65"/>
        <v>0</v>
      </c>
      <c r="N247" s="38">
        <v>45816</v>
      </c>
      <c r="O247" s="38">
        <v>45816</v>
      </c>
      <c r="P247" s="38">
        <f t="shared" si="66"/>
        <v>0</v>
      </c>
      <c r="Q247" s="38">
        <v>0</v>
      </c>
      <c r="R247" s="38">
        <v>0</v>
      </c>
      <c r="S247" s="38">
        <f t="shared" si="67"/>
        <v>0</v>
      </c>
      <c r="T247" s="38">
        <v>0</v>
      </c>
      <c r="U247" s="38">
        <v>0</v>
      </c>
      <c r="V247" s="38">
        <f t="shared" si="68"/>
        <v>0</v>
      </c>
      <c r="W247" s="38">
        <v>0</v>
      </c>
      <c r="X247" s="38">
        <v>0</v>
      </c>
      <c r="Y247" s="38">
        <f t="shared" si="69"/>
        <v>0</v>
      </c>
      <c r="Z247" s="38">
        <v>0</v>
      </c>
      <c r="AA247" s="38">
        <v>0</v>
      </c>
      <c r="AB247" s="38">
        <f t="shared" si="70"/>
        <v>0</v>
      </c>
      <c r="AC247" s="38">
        <v>0</v>
      </c>
      <c r="AD247" s="38">
        <v>0</v>
      </c>
      <c r="AE247" s="38">
        <f t="shared" si="71"/>
        <v>0</v>
      </c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</row>
    <row r="248" spans="1:255" ht="47.25" x14ac:dyDescent="0.25">
      <c r="A248" s="39" t="s">
        <v>228</v>
      </c>
      <c r="B248" s="37">
        <v>2</v>
      </c>
      <c r="C248" s="37">
        <v>623</v>
      </c>
      <c r="D248" s="37">
        <v>5204</v>
      </c>
      <c r="E248" s="38">
        <f t="shared" si="63"/>
        <v>241500</v>
      </c>
      <c r="F248" s="38">
        <f t="shared" si="63"/>
        <v>241500</v>
      </c>
      <c r="G248" s="38">
        <f t="shared" si="63"/>
        <v>0</v>
      </c>
      <c r="H248" s="38">
        <v>0</v>
      </c>
      <c r="I248" s="38">
        <v>0</v>
      </c>
      <c r="J248" s="38">
        <f t="shared" si="64"/>
        <v>0</v>
      </c>
      <c r="K248" s="38">
        <v>0</v>
      </c>
      <c r="L248" s="38">
        <v>0</v>
      </c>
      <c r="M248" s="38">
        <f t="shared" si="65"/>
        <v>0</v>
      </c>
      <c r="N248" s="38">
        <v>241500</v>
      </c>
      <c r="O248" s="38">
        <v>241500</v>
      </c>
      <c r="P248" s="38">
        <f t="shared" si="66"/>
        <v>0</v>
      </c>
      <c r="Q248" s="38">
        <v>0</v>
      </c>
      <c r="R248" s="38">
        <v>0</v>
      </c>
      <c r="S248" s="38">
        <f t="shared" si="67"/>
        <v>0</v>
      </c>
      <c r="T248" s="38">
        <v>0</v>
      </c>
      <c r="U248" s="38">
        <v>0</v>
      </c>
      <c r="V248" s="38">
        <f t="shared" si="68"/>
        <v>0</v>
      </c>
      <c r="W248" s="38">
        <v>0</v>
      </c>
      <c r="X248" s="38">
        <v>0</v>
      </c>
      <c r="Y248" s="38">
        <f t="shared" si="69"/>
        <v>0</v>
      </c>
      <c r="Z248" s="38">
        <v>0</v>
      </c>
      <c r="AA248" s="38">
        <v>0</v>
      </c>
      <c r="AB248" s="38">
        <f t="shared" si="70"/>
        <v>0</v>
      </c>
      <c r="AC248" s="38">
        <v>0</v>
      </c>
      <c r="AD248" s="38">
        <v>0</v>
      </c>
      <c r="AE248" s="38">
        <f t="shared" si="71"/>
        <v>0</v>
      </c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</row>
    <row r="249" spans="1:255" x14ac:dyDescent="0.25">
      <c r="A249" s="26" t="s">
        <v>128</v>
      </c>
      <c r="B249" s="34"/>
      <c r="C249" s="34"/>
      <c r="D249" s="34"/>
      <c r="E249" s="27">
        <f t="shared" si="63"/>
        <v>56392</v>
      </c>
      <c r="F249" s="27">
        <f t="shared" si="63"/>
        <v>56392</v>
      </c>
      <c r="G249" s="27">
        <f t="shared" si="63"/>
        <v>0</v>
      </c>
      <c r="H249" s="27">
        <f>SUM(H250:H254)</f>
        <v>0</v>
      </c>
      <c r="I249" s="27">
        <f>SUM(I250:I254)</f>
        <v>0</v>
      </c>
      <c r="J249" s="27">
        <f t="shared" si="64"/>
        <v>0</v>
      </c>
      <c r="K249" s="27">
        <f>SUM(K250:K254)</f>
        <v>0</v>
      </c>
      <c r="L249" s="27">
        <f>SUM(L250:L254)</f>
        <v>0</v>
      </c>
      <c r="M249" s="27">
        <f t="shared" si="65"/>
        <v>0</v>
      </c>
      <c r="N249" s="27">
        <f>SUM(N250:N254)</f>
        <v>56392</v>
      </c>
      <c r="O249" s="27">
        <f>SUM(O250:O254)</f>
        <v>56392</v>
      </c>
      <c r="P249" s="27">
        <f t="shared" si="66"/>
        <v>0</v>
      </c>
      <c r="Q249" s="27">
        <f>SUM(Q250:Q254)</f>
        <v>0</v>
      </c>
      <c r="R249" s="27">
        <f>SUM(R250:R254)</f>
        <v>0</v>
      </c>
      <c r="S249" s="27">
        <f t="shared" si="67"/>
        <v>0</v>
      </c>
      <c r="T249" s="27">
        <f>SUM(T250:T254)</f>
        <v>0</v>
      </c>
      <c r="U249" s="27">
        <f>SUM(U250:U254)</f>
        <v>0</v>
      </c>
      <c r="V249" s="27">
        <f t="shared" si="68"/>
        <v>0</v>
      </c>
      <c r="W249" s="27">
        <f>SUM(W250:W254)</f>
        <v>0</v>
      </c>
      <c r="X249" s="27">
        <f>SUM(X250:X254)</f>
        <v>0</v>
      </c>
      <c r="Y249" s="27">
        <f t="shared" si="69"/>
        <v>0</v>
      </c>
      <c r="Z249" s="27">
        <f>SUM(Z250:Z254)</f>
        <v>0</v>
      </c>
      <c r="AA249" s="27">
        <f>SUM(AA250:AA254)</f>
        <v>0</v>
      </c>
      <c r="AB249" s="27">
        <f t="shared" si="70"/>
        <v>0</v>
      </c>
      <c r="AC249" s="27">
        <f>SUM(AC250:AC254)</f>
        <v>0</v>
      </c>
      <c r="AD249" s="27">
        <f>SUM(AD250:AD254)</f>
        <v>0</v>
      </c>
      <c r="AE249" s="27">
        <f t="shared" si="71"/>
        <v>0</v>
      </c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</row>
    <row r="250" spans="1:255" ht="31.5" x14ac:dyDescent="0.25">
      <c r="A250" s="39" t="s">
        <v>229</v>
      </c>
      <c r="B250" s="37">
        <v>2</v>
      </c>
      <c r="C250" s="37">
        <v>622</v>
      </c>
      <c r="D250" s="37">
        <v>5205</v>
      </c>
      <c r="E250" s="38">
        <f t="shared" si="63"/>
        <v>6833</v>
      </c>
      <c r="F250" s="38">
        <f t="shared" si="63"/>
        <v>6833</v>
      </c>
      <c r="G250" s="38">
        <f t="shared" si="63"/>
        <v>0</v>
      </c>
      <c r="H250" s="38">
        <v>0</v>
      </c>
      <c r="I250" s="38">
        <v>0</v>
      </c>
      <c r="J250" s="38">
        <f t="shared" si="64"/>
        <v>0</v>
      </c>
      <c r="K250" s="38">
        <v>0</v>
      </c>
      <c r="L250" s="38">
        <v>0</v>
      </c>
      <c r="M250" s="38">
        <f t="shared" si="65"/>
        <v>0</v>
      </c>
      <c r="N250" s="38">
        <v>6833</v>
      </c>
      <c r="O250" s="38">
        <v>6833</v>
      </c>
      <c r="P250" s="38">
        <f t="shared" si="66"/>
        <v>0</v>
      </c>
      <c r="Q250" s="38">
        <v>0</v>
      </c>
      <c r="R250" s="38">
        <v>0</v>
      </c>
      <c r="S250" s="38">
        <f t="shared" si="67"/>
        <v>0</v>
      </c>
      <c r="T250" s="38">
        <v>0</v>
      </c>
      <c r="U250" s="38">
        <v>0</v>
      </c>
      <c r="V250" s="38">
        <f t="shared" si="68"/>
        <v>0</v>
      </c>
      <c r="W250" s="38">
        <v>0</v>
      </c>
      <c r="X250" s="38">
        <v>0</v>
      </c>
      <c r="Y250" s="38">
        <f t="shared" si="69"/>
        <v>0</v>
      </c>
      <c r="Z250" s="38">
        <v>0</v>
      </c>
      <c r="AA250" s="38">
        <v>0</v>
      </c>
      <c r="AB250" s="38">
        <f t="shared" si="70"/>
        <v>0</v>
      </c>
      <c r="AC250" s="38">
        <v>0</v>
      </c>
      <c r="AD250" s="38">
        <v>0</v>
      </c>
      <c r="AE250" s="38">
        <f t="shared" si="71"/>
        <v>0</v>
      </c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</row>
    <row r="251" spans="1:255" ht="23.25" customHeight="1" x14ac:dyDescent="0.25">
      <c r="A251" s="39" t="s">
        <v>230</v>
      </c>
      <c r="B251" s="37">
        <v>2</v>
      </c>
      <c r="C251" s="37">
        <v>623</v>
      </c>
      <c r="D251" s="37">
        <v>5205</v>
      </c>
      <c r="E251" s="38">
        <f t="shared" si="63"/>
        <v>13100</v>
      </c>
      <c r="F251" s="38">
        <f t="shared" si="63"/>
        <v>13100</v>
      </c>
      <c r="G251" s="38">
        <f t="shared" si="63"/>
        <v>0</v>
      </c>
      <c r="H251" s="38">
        <v>0</v>
      </c>
      <c r="I251" s="38">
        <v>0</v>
      </c>
      <c r="J251" s="38">
        <f t="shared" si="64"/>
        <v>0</v>
      </c>
      <c r="K251" s="38">
        <v>0</v>
      </c>
      <c r="L251" s="38">
        <v>0</v>
      </c>
      <c r="M251" s="38">
        <f t="shared" si="65"/>
        <v>0</v>
      </c>
      <c r="N251" s="38">
        <f>1800+11300</f>
        <v>13100</v>
      </c>
      <c r="O251" s="38">
        <f>1800+11300</f>
        <v>13100</v>
      </c>
      <c r="P251" s="38">
        <f t="shared" si="66"/>
        <v>0</v>
      </c>
      <c r="Q251" s="38">
        <v>0</v>
      </c>
      <c r="R251" s="38">
        <v>0</v>
      </c>
      <c r="S251" s="38">
        <f t="shared" si="67"/>
        <v>0</v>
      </c>
      <c r="T251" s="38">
        <v>0</v>
      </c>
      <c r="U251" s="38">
        <v>0</v>
      </c>
      <c r="V251" s="38">
        <f t="shared" si="68"/>
        <v>0</v>
      </c>
      <c r="W251" s="38">
        <v>0</v>
      </c>
      <c r="X251" s="38">
        <v>0</v>
      </c>
      <c r="Y251" s="38">
        <f t="shared" si="69"/>
        <v>0</v>
      </c>
      <c r="Z251" s="38">
        <v>0</v>
      </c>
      <c r="AA251" s="38">
        <v>0</v>
      </c>
      <c r="AB251" s="38">
        <f t="shared" si="70"/>
        <v>0</v>
      </c>
      <c r="AC251" s="38">
        <v>0</v>
      </c>
      <c r="AD251" s="38">
        <v>0</v>
      </c>
      <c r="AE251" s="38">
        <f t="shared" si="71"/>
        <v>0</v>
      </c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</row>
    <row r="252" spans="1:255" ht="23.25" customHeight="1" x14ac:dyDescent="0.25">
      <c r="A252" s="39" t="s">
        <v>231</v>
      </c>
      <c r="B252" s="37">
        <v>2</v>
      </c>
      <c r="C252" s="37">
        <v>623</v>
      </c>
      <c r="D252" s="37">
        <v>5205</v>
      </c>
      <c r="E252" s="38">
        <f t="shared" si="63"/>
        <v>1376</v>
      </c>
      <c r="F252" s="38">
        <f t="shared" si="63"/>
        <v>1376</v>
      </c>
      <c r="G252" s="38">
        <f t="shared" si="63"/>
        <v>0</v>
      </c>
      <c r="H252" s="38">
        <v>0</v>
      </c>
      <c r="I252" s="38">
        <v>0</v>
      </c>
      <c r="J252" s="38">
        <f t="shared" si="64"/>
        <v>0</v>
      </c>
      <c r="K252" s="38">
        <v>0</v>
      </c>
      <c r="L252" s="38">
        <v>0</v>
      </c>
      <c r="M252" s="38">
        <f t="shared" si="65"/>
        <v>0</v>
      </c>
      <c r="N252" s="38">
        <v>1376</v>
      </c>
      <c r="O252" s="38">
        <v>1376</v>
      </c>
      <c r="P252" s="38">
        <f t="shared" si="66"/>
        <v>0</v>
      </c>
      <c r="Q252" s="38">
        <v>0</v>
      </c>
      <c r="R252" s="38">
        <v>0</v>
      </c>
      <c r="S252" s="38">
        <f t="shared" si="67"/>
        <v>0</v>
      </c>
      <c r="T252" s="38">
        <v>0</v>
      </c>
      <c r="U252" s="38">
        <v>0</v>
      </c>
      <c r="V252" s="38">
        <f t="shared" si="68"/>
        <v>0</v>
      </c>
      <c r="W252" s="38">
        <v>0</v>
      </c>
      <c r="X252" s="38">
        <v>0</v>
      </c>
      <c r="Y252" s="38">
        <f t="shared" si="69"/>
        <v>0</v>
      </c>
      <c r="Z252" s="38">
        <v>0</v>
      </c>
      <c r="AA252" s="38">
        <v>0</v>
      </c>
      <c r="AB252" s="38">
        <f t="shared" si="70"/>
        <v>0</v>
      </c>
      <c r="AC252" s="38">
        <v>0</v>
      </c>
      <c r="AD252" s="38">
        <v>0</v>
      </c>
      <c r="AE252" s="38">
        <f t="shared" si="71"/>
        <v>0</v>
      </c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</row>
    <row r="253" spans="1:255" ht="31.5" x14ac:dyDescent="0.25">
      <c r="A253" s="39" t="s">
        <v>232</v>
      </c>
      <c r="B253" s="37">
        <v>2</v>
      </c>
      <c r="C253" s="37">
        <v>622</v>
      </c>
      <c r="D253" s="37">
        <v>5205</v>
      </c>
      <c r="E253" s="38">
        <f t="shared" si="63"/>
        <v>2653</v>
      </c>
      <c r="F253" s="38">
        <f t="shared" si="63"/>
        <v>2653</v>
      </c>
      <c r="G253" s="38">
        <f t="shared" si="63"/>
        <v>0</v>
      </c>
      <c r="H253" s="38">
        <v>0</v>
      </c>
      <c r="I253" s="38">
        <v>0</v>
      </c>
      <c r="J253" s="38">
        <f t="shared" si="64"/>
        <v>0</v>
      </c>
      <c r="K253" s="38">
        <v>0</v>
      </c>
      <c r="L253" s="38">
        <v>0</v>
      </c>
      <c r="M253" s="38">
        <f t="shared" si="65"/>
        <v>0</v>
      </c>
      <c r="N253" s="38">
        <v>2653</v>
      </c>
      <c r="O253" s="38">
        <v>2653</v>
      </c>
      <c r="P253" s="38">
        <f t="shared" si="66"/>
        <v>0</v>
      </c>
      <c r="Q253" s="38">
        <v>0</v>
      </c>
      <c r="R253" s="38">
        <v>0</v>
      </c>
      <c r="S253" s="38">
        <f t="shared" si="67"/>
        <v>0</v>
      </c>
      <c r="T253" s="38">
        <v>0</v>
      </c>
      <c r="U253" s="38">
        <v>0</v>
      </c>
      <c r="V253" s="38">
        <f t="shared" si="68"/>
        <v>0</v>
      </c>
      <c r="W253" s="38">
        <v>0</v>
      </c>
      <c r="X253" s="38">
        <v>0</v>
      </c>
      <c r="Y253" s="38">
        <f t="shared" si="69"/>
        <v>0</v>
      </c>
      <c r="Z253" s="38">
        <v>0</v>
      </c>
      <c r="AA253" s="38">
        <v>0</v>
      </c>
      <c r="AB253" s="38">
        <f t="shared" si="70"/>
        <v>0</v>
      </c>
      <c r="AC253" s="38">
        <v>0</v>
      </c>
      <c r="AD253" s="38">
        <v>0</v>
      </c>
      <c r="AE253" s="38">
        <f t="shared" si="71"/>
        <v>0</v>
      </c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</row>
    <row r="254" spans="1:255" ht="63" x14ac:dyDescent="0.25">
      <c r="A254" s="39" t="s">
        <v>233</v>
      </c>
      <c r="B254" s="37">
        <v>2</v>
      </c>
      <c r="C254" s="37">
        <v>623</v>
      </c>
      <c r="D254" s="37">
        <v>5205</v>
      </c>
      <c r="E254" s="38">
        <f t="shared" si="63"/>
        <v>32430</v>
      </c>
      <c r="F254" s="38">
        <f t="shared" si="63"/>
        <v>32430</v>
      </c>
      <c r="G254" s="38">
        <f t="shared" si="63"/>
        <v>0</v>
      </c>
      <c r="H254" s="38">
        <v>0</v>
      </c>
      <c r="I254" s="38">
        <v>0</v>
      </c>
      <c r="J254" s="38">
        <f t="shared" si="64"/>
        <v>0</v>
      </c>
      <c r="K254" s="38">
        <v>0</v>
      </c>
      <c r="L254" s="38">
        <v>0</v>
      </c>
      <c r="M254" s="38">
        <f t="shared" si="65"/>
        <v>0</v>
      </c>
      <c r="N254" s="38">
        <v>32430</v>
      </c>
      <c r="O254" s="38">
        <v>32430</v>
      </c>
      <c r="P254" s="38">
        <f t="shared" si="66"/>
        <v>0</v>
      </c>
      <c r="Q254" s="38">
        <v>0</v>
      </c>
      <c r="R254" s="38">
        <v>0</v>
      </c>
      <c r="S254" s="38">
        <f t="shared" si="67"/>
        <v>0</v>
      </c>
      <c r="T254" s="38">
        <v>0</v>
      </c>
      <c r="U254" s="38">
        <v>0</v>
      </c>
      <c r="V254" s="38">
        <f t="shared" si="68"/>
        <v>0</v>
      </c>
      <c r="W254" s="38">
        <v>0</v>
      </c>
      <c r="X254" s="38">
        <v>0</v>
      </c>
      <c r="Y254" s="38">
        <f t="shared" si="69"/>
        <v>0</v>
      </c>
      <c r="Z254" s="38">
        <v>0</v>
      </c>
      <c r="AA254" s="38">
        <v>0</v>
      </c>
      <c r="AB254" s="38">
        <f t="shared" si="70"/>
        <v>0</v>
      </c>
      <c r="AC254" s="38">
        <v>0</v>
      </c>
      <c r="AD254" s="38">
        <v>0</v>
      </c>
      <c r="AE254" s="38">
        <f t="shared" si="71"/>
        <v>0</v>
      </c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</row>
    <row r="255" spans="1:255" x14ac:dyDescent="0.25">
      <c r="A255" s="26" t="s">
        <v>234</v>
      </c>
      <c r="B255" s="34"/>
      <c r="C255" s="34"/>
      <c r="D255" s="34"/>
      <c r="E255" s="27">
        <f t="shared" si="63"/>
        <v>21623107</v>
      </c>
      <c r="F255" s="27">
        <f t="shared" si="63"/>
        <v>21764012</v>
      </c>
      <c r="G255" s="27">
        <f t="shared" si="63"/>
        <v>140905</v>
      </c>
      <c r="H255" s="27">
        <f>SUM(H256:H292)</f>
        <v>1004020</v>
      </c>
      <c r="I255" s="27">
        <f>SUM(I256:I292)</f>
        <v>926261</v>
      </c>
      <c r="J255" s="27">
        <f t="shared" si="64"/>
        <v>-77759</v>
      </c>
      <c r="K255" s="27">
        <f>SUM(K256:K292)</f>
        <v>392281</v>
      </c>
      <c r="L255" s="27">
        <f>SUM(L256:L292)</f>
        <v>392281</v>
      </c>
      <c r="M255" s="27">
        <f t="shared" si="65"/>
        <v>0</v>
      </c>
      <c r="N255" s="27">
        <f>SUM(N256:N292)</f>
        <v>1162152</v>
      </c>
      <c r="O255" s="27">
        <f>SUM(O256:O292)</f>
        <v>1060038</v>
      </c>
      <c r="P255" s="27">
        <f t="shared" si="66"/>
        <v>-102114</v>
      </c>
      <c r="Q255" s="27">
        <f>SUM(Q256:Q292)</f>
        <v>7170891</v>
      </c>
      <c r="R255" s="27">
        <f>SUM(R256:R292)</f>
        <v>7170891</v>
      </c>
      <c r="S255" s="27">
        <f t="shared" si="67"/>
        <v>0</v>
      </c>
      <c r="T255" s="27">
        <f>SUM(T256:T292)</f>
        <v>0</v>
      </c>
      <c r="U255" s="27">
        <f>SUM(U256:U292)</f>
        <v>0</v>
      </c>
      <c r="V255" s="27">
        <f t="shared" si="68"/>
        <v>0</v>
      </c>
      <c r="W255" s="27">
        <f>SUM(W256:W292)</f>
        <v>3495260</v>
      </c>
      <c r="X255" s="27">
        <f>SUM(X256:X292)</f>
        <v>3495260</v>
      </c>
      <c r="Y255" s="27">
        <f t="shared" si="69"/>
        <v>0</v>
      </c>
      <c r="Z255" s="27">
        <f>SUM(Z256:Z292)</f>
        <v>29976</v>
      </c>
      <c r="AA255" s="27">
        <f>SUM(AA256:AA292)</f>
        <v>29976</v>
      </c>
      <c r="AB255" s="27">
        <f t="shared" si="70"/>
        <v>0</v>
      </c>
      <c r="AC255" s="27">
        <f>SUM(AC256:AC292)</f>
        <v>8368527</v>
      </c>
      <c r="AD255" s="27">
        <f>SUM(AD256:AD292)</f>
        <v>8689305</v>
      </c>
      <c r="AE255" s="27">
        <f t="shared" si="71"/>
        <v>320778</v>
      </c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</row>
    <row r="256" spans="1:255" ht="31.5" x14ac:dyDescent="0.25">
      <c r="A256" s="35" t="s">
        <v>235</v>
      </c>
      <c r="B256" s="36">
        <v>2</v>
      </c>
      <c r="C256" s="36">
        <v>619</v>
      </c>
      <c r="D256" s="40">
        <v>5206</v>
      </c>
      <c r="E256" s="38">
        <f t="shared" si="63"/>
        <v>25000</v>
      </c>
      <c r="F256" s="38">
        <f t="shared" si="63"/>
        <v>25000</v>
      </c>
      <c r="G256" s="38">
        <f t="shared" si="63"/>
        <v>0</v>
      </c>
      <c r="H256" s="38">
        <v>0</v>
      </c>
      <c r="I256" s="38">
        <v>0</v>
      </c>
      <c r="J256" s="38">
        <f t="shared" si="64"/>
        <v>0</v>
      </c>
      <c r="K256" s="38">
        <v>0</v>
      </c>
      <c r="L256" s="38">
        <v>0</v>
      </c>
      <c r="M256" s="38">
        <f t="shared" si="65"/>
        <v>0</v>
      </c>
      <c r="N256" s="38">
        <v>25000</v>
      </c>
      <c r="O256" s="38">
        <v>25000</v>
      </c>
      <c r="P256" s="38">
        <f t="shared" si="66"/>
        <v>0</v>
      </c>
      <c r="Q256" s="38">
        <v>0</v>
      </c>
      <c r="R256" s="38">
        <v>0</v>
      </c>
      <c r="S256" s="38">
        <f t="shared" si="67"/>
        <v>0</v>
      </c>
      <c r="T256" s="38">
        <v>0</v>
      </c>
      <c r="U256" s="38">
        <v>0</v>
      </c>
      <c r="V256" s="38">
        <f t="shared" si="68"/>
        <v>0</v>
      </c>
      <c r="W256" s="38">
        <v>0</v>
      </c>
      <c r="X256" s="38">
        <v>0</v>
      </c>
      <c r="Y256" s="38">
        <f t="shared" si="69"/>
        <v>0</v>
      </c>
      <c r="Z256" s="38">
        <v>0</v>
      </c>
      <c r="AA256" s="38">
        <v>0</v>
      </c>
      <c r="AB256" s="38">
        <f t="shared" si="70"/>
        <v>0</v>
      </c>
      <c r="AC256" s="38">
        <v>0</v>
      </c>
      <c r="AD256" s="38">
        <v>0</v>
      </c>
      <c r="AE256" s="38">
        <f t="shared" si="71"/>
        <v>0</v>
      </c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</row>
    <row r="257" spans="1:255" ht="31.5" x14ac:dyDescent="0.25">
      <c r="A257" s="35" t="s">
        <v>236</v>
      </c>
      <c r="B257" s="36">
        <v>2</v>
      </c>
      <c r="C257" s="36">
        <v>619</v>
      </c>
      <c r="D257" s="36">
        <v>5206</v>
      </c>
      <c r="E257" s="38">
        <f t="shared" si="63"/>
        <v>15000</v>
      </c>
      <c r="F257" s="38">
        <f t="shared" si="63"/>
        <v>15000</v>
      </c>
      <c r="G257" s="38">
        <f t="shared" si="63"/>
        <v>0</v>
      </c>
      <c r="H257" s="38">
        <v>0</v>
      </c>
      <c r="I257" s="38">
        <v>0</v>
      </c>
      <c r="J257" s="38">
        <f t="shared" si="64"/>
        <v>0</v>
      </c>
      <c r="K257" s="38">
        <v>0</v>
      </c>
      <c r="L257" s="38">
        <v>0</v>
      </c>
      <c r="M257" s="38">
        <f t="shared" si="65"/>
        <v>0</v>
      </c>
      <c r="N257" s="38">
        <v>15000</v>
      </c>
      <c r="O257" s="38">
        <v>15000</v>
      </c>
      <c r="P257" s="38">
        <f t="shared" si="66"/>
        <v>0</v>
      </c>
      <c r="Q257" s="38">
        <v>0</v>
      </c>
      <c r="R257" s="38">
        <v>0</v>
      </c>
      <c r="S257" s="38">
        <f t="shared" si="67"/>
        <v>0</v>
      </c>
      <c r="T257" s="38">
        <v>0</v>
      </c>
      <c r="U257" s="38">
        <v>0</v>
      </c>
      <c r="V257" s="38">
        <f t="shared" si="68"/>
        <v>0</v>
      </c>
      <c r="W257" s="38">
        <v>0</v>
      </c>
      <c r="X257" s="38">
        <v>0</v>
      </c>
      <c r="Y257" s="38">
        <f t="shared" si="69"/>
        <v>0</v>
      </c>
      <c r="Z257" s="38">
        <v>0</v>
      </c>
      <c r="AA257" s="38">
        <v>0</v>
      </c>
      <c r="AB257" s="38">
        <f t="shared" si="70"/>
        <v>0</v>
      </c>
      <c r="AC257" s="38">
        <v>0</v>
      </c>
      <c r="AD257" s="38">
        <v>0</v>
      </c>
      <c r="AE257" s="38">
        <f t="shared" si="71"/>
        <v>0</v>
      </c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</row>
    <row r="258" spans="1:255" ht="31.5" x14ac:dyDescent="0.25">
      <c r="A258" s="35" t="s">
        <v>237</v>
      </c>
      <c r="B258" s="36">
        <v>2</v>
      </c>
      <c r="C258" s="36">
        <v>619</v>
      </c>
      <c r="D258" s="36">
        <v>5206</v>
      </c>
      <c r="E258" s="38">
        <f t="shared" si="63"/>
        <v>152913</v>
      </c>
      <c r="F258" s="38">
        <f t="shared" si="63"/>
        <v>152913</v>
      </c>
      <c r="G258" s="38">
        <f t="shared" si="63"/>
        <v>0</v>
      </c>
      <c r="H258" s="38">
        <v>0</v>
      </c>
      <c r="I258" s="38">
        <v>0</v>
      </c>
      <c r="J258" s="38">
        <f t="shared" si="64"/>
        <v>0</v>
      </c>
      <c r="K258" s="38">
        <v>0</v>
      </c>
      <c r="L258" s="38">
        <v>0</v>
      </c>
      <c r="M258" s="38">
        <f t="shared" si="65"/>
        <v>0</v>
      </c>
      <c r="N258" s="38">
        <f>15995+3214+23791-20087</f>
        <v>22913</v>
      </c>
      <c r="O258" s="38">
        <f>15995+3214+23791-20087</f>
        <v>22913</v>
      </c>
      <c r="P258" s="38">
        <f t="shared" si="66"/>
        <v>0</v>
      </c>
      <c r="Q258" s="38">
        <v>0</v>
      </c>
      <c r="R258" s="38">
        <v>0</v>
      </c>
      <c r="S258" s="38">
        <f t="shared" si="67"/>
        <v>0</v>
      </c>
      <c r="T258" s="38">
        <v>0</v>
      </c>
      <c r="U258" s="38">
        <v>0</v>
      </c>
      <c r="V258" s="38">
        <f t="shared" si="68"/>
        <v>0</v>
      </c>
      <c r="W258" s="38">
        <v>0</v>
      </c>
      <c r="X258" s="38">
        <v>0</v>
      </c>
      <c r="Y258" s="38">
        <f t="shared" si="69"/>
        <v>0</v>
      </c>
      <c r="Z258" s="38">
        <v>0</v>
      </c>
      <c r="AA258" s="38">
        <v>0</v>
      </c>
      <c r="AB258" s="38">
        <f t="shared" si="70"/>
        <v>0</v>
      </c>
      <c r="AC258" s="38">
        <v>130000</v>
      </c>
      <c r="AD258" s="38">
        <v>130000</v>
      </c>
      <c r="AE258" s="38">
        <f t="shared" si="71"/>
        <v>0</v>
      </c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</row>
    <row r="259" spans="1:255" x14ac:dyDescent="0.25">
      <c r="A259" s="35" t="s">
        <v>238</v>
      </c>
      <c r="B259" s="36">
        <v>2</v>
      </c>
      <c r="C259" s="36">
        <v>619</v>
      </c>
      <c r="D259" s="36">
        <v>5206</v>
      </c>
      <c r="E259" s="38">
        <f t="shared" si="63"/>
        <v>4760</v>
      </c>
      <c r="F259" s="38">
        <f t="shared" si="63"/>
        <v>4760</v>
      </c>
      <c r="G259" s="38">
        <f t="shared" si="63"/>
        <v>0</v>
      </c>
      <c r="H259" s="38">
        <v>0</v>
      </c>
      <c r="I259" s="38">
        <v>0</v>
      </c>
      <c r="J259" s="38">
        <f t="shared" si="64"/>
        <v>0</v>
      </c>
      <c r="K259" s="38">
        <v>0</v>
      </c>
      <c r="L259" s="38">
        <v>0</v>
      </c>
      <c r="M259" s="38">
        <f t="shared" si="65"/>
        <v>0</v>
      </c>
      <c r="N259" s="38">
        <v>4760</v>
      </c>
      <c r="O259" s="38">
        <v>4760</v>
      </c>
      <c r="P259" s="38">
        <f t="shared" si="66"/>
        <v>0</v>
      </c>
      <c r="Q259" s="38">
        <v>0</v>
      </c>
      <c r="R259" s="38">
        <v>0</v>
      </c>
      <c r="S259" s="38">
        <f t="shared" si="67"/>
        <v>0</v>
      </c>
      <c r="T259" s="38">
        <v>0</v>
      </c>
      <c r="U259" s="38">
        <v>0</v>
      </c>
      <c r="V259" s="38">
        <f t="shared" si="68"/>
        <v>0</v>
      </c>
      <c r="W259" s="38">
        <v>0</v>
      </c>
      <c r="X259" s="38">
        <v>0</v>
      </c>
      <c r="Y259" s="38">
        <f t="shared" si="69"/>
        <v>0</v>
      </c>
      <c r="Z259" s="38">
        <v>0</v>
      </c>
      <c r="AA259" s="38">
        <v>0</v>
      </c>
      <c r="AB259" s="38">
        <f t="shared" si="70"/>
        <v>0</v>
      </c>
      <c r="AC259" s="38">
        <v>0</v>
      </c>
      <c r="AD259" s="38">
        <v>0</v>
      </c>
      <c r="AE259" s="38">
        <f t="shared" si="71"/>
        <v>0</v>
      </c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</row>
    <row r="260" spans="1:255" ht="31.5" x14ac:dyDescent="0.25">
      <c r="A260" s="35" t="s">
        <v>239</v>
      </c>
      <c r="B260" s="36">
        <v>2</v>
      </c>
      <c r="C260" s="36">
        <v>619</v>
      </c>
      <c r="D260" s="36">
        <v>5206</v>
      </c>
      <c r="E260" s="38">
        <f t="shared" si="63"/>
        <v>96000</v>
      </c>
      <c r="F260" s="38">
        <f t="shared" si="63"/>
        <v>96000</v>
      </c>
      <c r="G260" s="38">
        <f t="shared" si="63"/>
        <v>0</v>
      </c>
      <c r="H260" s="38">
        <v>0</v>
      </c>
      <c r="I260" s="38">
        <v>0</v>
      </c>
      <c r="J260" s="38">
        <f t="shared" si="64"/>
        <v>0</v>
      </c>
      <c r="K260" s="38">
        <v>0</v>
      </c>
      <c r="L260" s="38">
        <v>0</v>
      </c>
      <c r="M260" s="38">
        <f t="shared" si="65"/>
        <v>0</v>
      </c>
      <c r="N260" s="38">
        <f>75000+21000</f>
        <v>96000</v>
      </c>
      <c r="O260" s="38">
        <f>75000+21000</f>
        <v>96000</v>
      </c>
      <c r="P260" s="38">
        <f t="shared" si="66"/>
        <v>0</v>
      </c>
      <c r="Q260" s="38">
        <v>0</v>
      </c>
      <c r="R260" s="38">
        <v>0</v>
      </c>
      <c r="S260" s="38">
        <f t="shared" si="67"/>
        <v>0</v>
      </c>
      <c r="T260" s="38">
        <v>0</v>
      </c>
      <c r="U260" s="38">
        <v>0</v>
      </c>
      <c r="V260" s="38">
        <f t="shared" si="68"/>
        <v>0</v>
      </c>
      <c r="W260" s="38">
        <v>0</v>
      </c>
      <c r="X260" s="38">
        <v>0</v>
      </c>
      <c r="Y260" s="38">
        <f t="shared" si="69"/>
        <v>0</v>
      </c>
      <c r="Z260" s="38">
        <v>0</v>
      </c>
      <c r="AA260" s="38">
        <v>0</v>
      </c>
      <c r="AB260" s="38">
        <f t="shared" si="70"/>
        <v>0</v>
      </c>
      <c r="AC260" s="38">
        <f>21000-21000</f>
        <v>0</v>
      </c>
      <c r="AD260" s="38">
        <f>21000-21000</f>
        <v>0</v>
      </c>
      <c r="AE260" s="38">
        <f t="shared" si="71"/>
        <v>0</v>
      </c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</row>
    <row r="261" spans="1:255" ht="47.25" x14ac:dyDescent="0.25">
      <c r="A261" s="35" t="s">
        <v>240</v>
      </c>
      <c r="B261" s="36">
        <v>2</v>
      </c>
      <c r="C261" s="36">
        <v>604</v>
      </c>
      <c r="D261" s="36">
        <v>5206</v>
      </c>
      <c r="E261" s="38">
        <f t="shared" si="63"/>
        <v>8987</v>
      </c>
      <c r="F261" s="38">
        <f t="shared" si="63"/>
        <v>8987</v>
      </c>
      <c r="G261" s="38">
        <f t="shared" si="63"/>
        <v>0</v>
      </c>
      <c r="H261" s="38">
        <v>0</v>
      </c>
      <c r="I261" s="38">
        <v>0</v>
      </c>
      <c r="J261" s="38">
        <f t="shared" si="64"/>
        <v>0</v>
      </c>
      <c r="K261" s="38">
        <v>0</v>
      </c>
      <c r="L261" s="38">
        <v>0</v>
      </c>
      <c r="M261" s="38">
        <f t="shared" si="65"/>
        <v>0</v>
      </c>
      <c r="N261" s="38">
        <v>8987</v>
      </c>
      <c r="O261" s="38">
        <v>8987</v>
      </c>
      <c r="P261" s="38">
        <f t="shared" si="66"/>
        <v>0</v>
      </c>
      <c r="Q261" s="38">
        <v>0</v>
      </c>
      <c r="R261" s="38">
        <v>0</v>
      </c>
      <c r="S261" s="38">
        <f t="shared" si="67"/>
        <v>0</v>
      </c>
      <c r="T261" s="38">
        <v>0</v>
      </c>
      <c r="U261" s="38">
        <v>0</v>
      </c>
      <c r="V261" s="38">
        <f t="shared" si="68"/>
        <v>0</v>
      </c>
      <c r="W261" s="38">
        <v>0</v>
      </c>
      <c r="X261" s="38">
        <v>0</v>
      </c>
      <c r="Y261" s="38">
        <f t="shared" si="69"/>
        <v>0</v>
      </c>
      <c r="Z261" s="38">
        <v>0</v>
      </c>
      <c r="AA261" s="38">
        <v>0</v>
      </c>
      <c r="AB261" s="38">
        <f t="shared" si="70"/>
        <v>0</v>
      </c>
      <c r="AC261" s="38">
        <v>0</v>
      </c>
      <c r="AD261" s="38">
        <v>0</v>
      </c>
      <c r="AE261" s="38">
        <f t="shared" si="71"/>
        <v>0</v>
      </c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</row>
    <row r="262" spans="1:255" ht="31.5" x14ac:dyDescent="0.25">
      <c r="A262" s="35" t="s">
        <v>241</v>
      </c>
      <c r="B262" s="36">
        <v>2</v>
      </c>
      <c r="C262" s="36">
        <v>619</v>
      </c>
      <c r="D262" s="36">
        <v>5206</v>
      </c>
      <c r="E262" s="38">
        <f t="shared" si="63"/>
        <v>14990</v>
      </c>
      <c r="F262" s="38">
        <f t="shared" si="63"/>
        <v>14990</v>
      </c>
      <c r="G262" s="38">
        <f t="shared" si="63"/>
        <v>0</v>
      </c>
      <c r="H262" s="38">
        <v>0</v>
      </c>
      <c r="I262" s="38">
        <v>0</v>
      </c>
      <c r="J262" s="38">
        <f t="shared" si="64"/>
        <v>0</v>
      </c>
      <c r="K262" s="38">
        <v>0</v>
      </c>
      <c r="L262" s="38">
        <v>0</v>
      </c>
      <c r="M262" s="38">
        <f t="shared" si="65"/>
        <v>0</v>
      </c>
      <c r="N262" s="38"/>
      <c r="O262" s="38"/>
      <c r="P262" s="38">
        <f t="shared" si="66"/>
        <v>0</v>
      </c>
      <c r="Q262" s="38">
        <v>0</v>
      </c>
      <c r="R262" s="38">
        <v>0</v>
      </c>
      <c r="S262" s="38">
        <f t="shared" si="67"/>
        <v>0</v>
      </c>
      <c r="T262" s="38">
        <v>0</v>
      </c>
      <c r="U262" s="38">
        <v>0</v>
      </c>
      <c r="V262" s="38">
        <f t="shared" si="68"/>
        <v>0</v>
      </c>
      <c r="W262" s="38">
        <v>0</v>
      </c>
      <c r="X262" s="38">
        <v>0</v>
      </c>
      <c r="Y262" s="38">
        <f t="shared" si="69"/>
        <v>0</v>
      </c>
      <c r="Z262" s="38">
        <v>14990</v>
      </c>
      <c r="AA262" s="38">
        <v>14990</v>
      </c>
      <c r="AB262" s="38">
        <f t="shared" si="70"/>
        <v>0</v>
      </c>
      <c r="AC262" s="38">
        <f t="shared" ref="AC262:AD264" si="86">21000-21000</f>
        <v>0</v>
      </c>
      <c r="AD262" s="38">
        <f t="shared" si="86"/>
        <v>0</v>
      </c>
      <c r="AE262" s="38">
        <f t="shared" si="71"/>
        <v>0</v>
      </c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</row>
    <row r="263" spans="1:255" ht="31.5" x14ac:dyDescent="0.25">
      <c r="A263" s="35" t="s">
        <v>242</v>
      </c>
      <c r="B263" s="36">
        <v>2</v>
      </c>
      <c r="C263" s="36">
        <v>619</v>
      </c>
      <c r="D263" s="36">
        <v>5206</v>
      </c>
      <c r="E263" s="38">
        <f t="shared" si="63"/>
        <v>14986</v>
      </c>
      <c r="F263" s="38">
        <f t="shared" si="63"/>
        <v>14986</v>
      </c>
      <c r="G263" s="38">
        <f t="shared" si="63"/>
        <v>0</v>
      </c>
      <c r="H263" s="38">
        <v>0</v>
      </c>
      <c r="I263" s="38">
        <v>0</v>
      </c>
      <c r="J263" s="38">
        <f t="shared" si="64"/>
        <v>0</v>
      </c>
      <c r="K263" s="38">
        <v>0</v>
      </c>
      <c r="L263" s="38">
        <v>0</v>
      </c>
      <c r="M263" s="38">
        <f t="shared" si="65"/>
        <v>0</v>
      </c>
      <c r="N263" s="38"/>
      <c r="O263" s="38"/>
      <c r="P263" s="38">
        <f t="shared" si="66"/>
        <v>0</v>
      </c>
      <c r="Q263" s="38">
        <v>0</v>
      </c>
      <c r="R263" s="38">
        <v>0</v>
      </c>
      <c r="S263" s="38">
        <f t="shared" si="67"/>
        <v>0</v>
      </c>
      <c r="T263" s="38">
        <v>0</v>
      </c>
      <c r="U263" s="38">
        <v>0</v>
      </c>
      <c r="V263" s="38">
        <f t="shared" si="68"/>
        <v>0</v>
      </c>
      <c r="W263" s="38">
        <v>0</v>
      </c>
      <c r="X263" s="38">
        <v>0</v>
      </c>
      <c r="Y263" s="38">
        <f t="shared" si="69"/>
        <v>0</v>
      </c>
      <c r="Z263" s="38">
        <v>14986</v>
      </c>
      <c r="AA263" s="38">
        <v>14986</v>
      </c>
      <c r="AB263" s="38">
        <f t="shared" si="70"/>
        <v>0</v>
      </c>
      <c r="AC263" s="38">
        <f t="shared" si="86"/>
        <v>0</v>
      </c>
      <c r="AD263" s="38">
        <f t="shared" si="86"/>
        <v>0</v>
      </c>
      <c r="AE263" s="38">
        <f t="shared" si="71"/>
        <v>0</v>
      </c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</row>
    <row r="264" spans="1:255" ht="31.5" x14ac:dyDescent="0.25">
      <c r="A264" s="35" t="s">
        <v>243</v>
      </c>
      <c r="B264" s="36">
        <v>2</v>
      </c>
      <c r="C264" s="36">
        <v>619</v>
      </c>
      <c r="D264" s="36">
        <v>5206</v>
      </c>
      <c r="E264" s="38">
        <f t="shared" si="63"/>
        <v>25000</v>
      </c>
      <c r="F264" s="38">
        <f t="shared" si="63"/>
        <v>50500</v>
      </c>
      <c r="G264" s="38">
        <f t="shared" si="63"/>
        <v>25500</v>
      </c>
      <c r="H264" s="38">
        <v>0</v>
      </c>
      <c r="I264" s="38">
        <v>0</v>
      </c>
      <c r="J264" s="38">
        <f t="shared" si="64"/>
        <v>0</v>
      </c>
      <c r="K264" s="38">
        <v>0</v>
      </c>
      <c r="L264" s="38">
        <v>0</v>
      </c>
      <c r="M264" s="38">
        <f t="shared" si="65"/>
        <v>0</v>
      </c>
      <c r="N264" s="38">
        <v>25000</v>
      </c>
      <c r="O264" s="38">
        <f>25000+20500+5000</f>
        <v>50500</v>
      </c>
      <c r="P264" s="38">
        <f t="shared" si="66"/>
        <v>25500</v>
      </c>
      <c r="Q264" s="38">
        <v>0</v>
      </c>
      <c r="R264" s="38">
        <v>0</v>
      </c>
      <c r="S264" s="38">
        <f t="shared" si="67"/>
        <v>0</v>
      </c>
      <c r="T264" s="38">
        <v>0</v>
      </c>
      <c r="U264" s="38">
        <v>0</v>
      </c>
      <c r="V264" s="38">
        <f t="shared" si="68"/>
        <v>0</v>
      </c>
      <c r="W264" s="38">
        <v>0</v>
      </c>
      <c r="X264" s="38">
        <v>0</v>
      </c>
      <c r="Y264" s="38">
        <f t="shared" si="69"/>
        <v>0</v>
      </c>
      <c r="Z264" s="38">
        <v>0</v>
      </c>
      <c r="AA264" s="38">
        <v>0</v>
      </c>
      <c r="AB264" s="38">
        <f t="shared" si="70"/>
        <v>0</v>
      </c>
      <c r="AC264" s="38">
        <f t="shared" si="86"/>
        <v>0</v>
      </c>
      <c r="AD264" s="38">
        <f t="shared" si="86"/>
        <v>0</v>
      </c>
      <c r="AE264" s="38">
        <f t="shared" si="71"/>
        <v>0</v>
      </c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</row>
    <row r="265" spans="1:255" ht="31.5" x14ac:dyDescent="0.25">
      <c r="A265" s="42" t="s">
        <v>244</v>
      </c>
      <c r="B265" s="37">
        <v>2</v>
      </c>
      <c r="C265" s="37">
        <v>606</v>
      </c>
      <c r="D265" s="40">
        <v>5206</v>
      </c>
      <c r="E265" s="38">
        <f t="shared" si="63"/>
        <v>275627</v>
      </c>
      <c r="F265" s="38">
        <f t="shared" si="63"/>
        <v>275627</v>
      </c>
      <c r="G265" s="38">
        <f t="shared" si="63"/>
        <v>0</v>
      </c>
      <c r="H265" s="38">
        <v>0</v>
      </c>
      <c r="I265" s="38">
        <v>275627</v>
      </c>
      <c r="J265" s="38">
        <f t="shared" si="64"/>
        <v>275627</v>
      </c>
      <c r="K265" s="38">
        <v>0</v>
      </c>
      <c r="L265" s="38">
        <v>0</v>
      </c>
      <c r="M265" s="38">
        <f t="shared" si="65"/>
        <v>0</v>
      </c>
      <c r="N265" s="38">
        <v>0</v>
      </c>
      <c r="O265" s="38">
        <v>0</v>
      </c>
      <c r="P265" s="38">
        <f t="shared" si="66"/>
        <v>0</v>
      </c>
      <c r="Q265" s="38">
        <v>0</v>
      </c>
      <c r="R265" s="38">
        <v>0</v>
      </c>
      <c r="S265" s="38">
        <f t="shared" si="67"/>
        <v>0</v>
      </c>
      <c r="T265" s="38">
        <v>0</v>
      </c>
      <c r="U265" s="38">
        <v>0</v>
      </c>
      <c r="V265" s="38">
        <f t="shared" si="68"/>
        <v>0</v>
      </c>
      <c r="W265" s="38">
        <v>0</v>
      </c>
      <c r="X265" s="38">
        <v>0</v>
      </c>
      <c r="Y265" s="38">
        <f t="shared" si="69"/>
        <v>0</v>
      </c>
      <c r="Z265" s="38">
        <v>0</v>
      </c>
      <c r="AA265" s="38">
        <v>0</v>
      </c>
      <c r="AB265" s="38">
        <f t="shared" si="70"/>
        <v>0</v>
      </c>
      <c r="AC265" s="38">
        <v>275627</v>
      </c>
      <c r="AD265" s="38">
        <f>275627-275627</f>
        <v>0</v>
      </c>
      <c r="AE265" s="38">
        <f t="shared" si="71"/>
        <v>-275627</v>
      </c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</row>
    <row r="266" spans="1:255" ht="47.25" x14ac:dyDescent="0.25">
      <c r="A266" s="42" t="s">
        <v>245</v>
      </c>
      <c r="B266" s="37"/>
      <c r="C266" s="37"/>
      <c r="D266" s="40"/>
      <c r="E266" s="38">
        <f t="shared" si="63"/>
        <v>75615</v>
      </c>
      <c r="F266" s="38">
        <f t="shared" si="63"/>
        <v>256592</v>
      </c>
      <c r="G266" s="38">
        <f t="shared" si="63"/>
        <v>180977</v>
      </c>
      <c r="H266" s="38">
        <v>0</v>
      </c>
      <c r="I266" s="38">
        <f>75615+180977</f>
        <v>256592</v>
      </c>
      <c r="J266" s="38">
        <f t="shared" si="64"/>
        <v>256592</v>
      </c>
      <c r="K266" s="38">
        <v>0</v>
      </c>
      <c r="L266" s="38">
        <v>0</v>
      </c>
      <c r="M266" s="38">
        <f t="shared" si="65"/>
        <v>0</v>
      </c>
      <c r="N266" s="38">
        <v>0</v>
      </c>
      <c r="O266" s="38">
        <v>0</v>
      </c>
      <c r="P266" s="38">
        <f t="shared" si="66"/>
        <v>0</v>
      </c>
      <c r="Q266" s="38">
        <v>0</v>
      </c>
      <c r="R266" s="38">
        <v>0</v>
      </c>
      <c r="S266" s="38">
        <f t="shared" si="67"/>
        <v>0</v>
      </c>
      <c r="T266" s="38">
        <v>0</v>
      </c>
      <c r="U266" s="38">
        <v>0</v>
      </c>
      <c r="V266" s="38">
        <f t="shared" si="68"/>
        <v>0</v>
      </c>
      <c r="W266" s="38">
        <v>0</v>
      </c>
      <c r="X266" s="38">
        <v>0</v>
      </c>
      <c r="Y266" s="38">
        <f t="shared" si="69"/>
        <v>0</v>
      </c>
      <c r="Z266" s="38">
        <v>0</v>
      </c>
      <c r="AA266" s="38">
        <v>0</v>
      </c>
      <c r="AB266" s="38">
        <f t="shared" si="70"/>
        <v>0</v>
      </c>
      <c r="AC266" s="38">
        <v>75615</v>
      </c>
      <c r="AD266" s="38">
        <f>75615-75615</f>
        <v>0</v>
      </c>
      <c r="AE266" s="38">
        <f t="shared" si="71"/>
        <v>-75615</v>
      </c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</row>
    <row r="267" spans="1:255" ht="31.5" x14ac:dyDescent="0.25">
      <c r="A267" s="42" t="s">
        <v>246</v>
      </c>
      <c r="B267" s="37">
        <v>2</v>
      </c>
      <c r="C267" s="37">
        <v>619</v>
      </c>
      <c r="D267" s="40">
        <v>5206</v>
      </c>
      <c r="E267" s="38">
        <f t="shared" si="63"/>
        <v>384837</v>
      </c>
      <c r="F267" s="38">
        <f t="shared" si="63"/>
        <v>384837</v>
      </c>
      <c r="G267" s="38">
        <f t="shared" si="63"/>
        <v>0</v>
      </c>
      <c r="H267" s="38">
        <v>0</v>
      </c>
      <c r="I267" s="38">
        <v>0</v>
      </c>
      <c r="J267" s="38">
        <f t="shared" si="64"/>
        <v>0</v>
      </c>
      <c r="K267" s="38">
        <v>0</v>
      </c>
      <c r="L267" s="38">
        <v>0</v>
      </c>
      <c r="M267" s="38">
        <f t="shared" si="65"/>
        <v>0</v>
      </c>
      <c r="N267" s="38">
        <f>21831</f>
        <v>21831</v>
      </c>
      <c r="O267" s="38">
        <f>21831</f>
        <v>21831</v>
      </c>
      <c r="P267" s="38">
        <f t="shared" si="66"/>
        <v>0</v>
      </c>
      <c r="Q267" s="38">
        <v>0</v>
      </c>
      <c r="R267" s="38">
        <v>0</v>
      </c>
      <c r="S267" s="38">
        <f t="shared" si="67"/>
        <v>0</v>
      </c>
      <c r="T267" s="38">
        <v>0</v>
      </c>
      <c r="U267" s="38">
        <v>0</v>
      </c>
      <c r="V267" s="38">
        <f t="shared" si="68"/>
        <v>0</v>
      </c>
      <c r="W267" s="38">
        <v>0</v>
      </c>
      <c r="X267" s="38">
        <v>0</v>
      </c>
      <c r="Y267" s="38">
        <f t="shared" si="69"/>
        <v>0</v>
      </c>
      <c r="Z267" s="38">
        <v>0</v>
      </c>
      <c r="AA267" s="38">
        <v>0</v>
      </c>
      <c r="AB267" s="38">
        <f t="shared" si="70"/>
        <v>0</v>
      </c>
      <c r="AC267" s="38">
        <f>384837-21831</f>
        <v>363006</v>
      </c>
      <c r="AD267" s="38">
        <f>384837-21831</f>
        <v>363006</v>
      </c>
      <c r="AE267" s="38">
        <f t="shared" si="71"/>
        <v>0</v>
      </c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</row>
    <row r="268" spans="1:255" x14ac:dyDescent="0.25">
      <c r="A268" s="42" t="s">
        <v>247</v>
      </c>
      <c r="B268" s="37"/>
      <c r="C268" s="37"/>
      <c r="D268" s="40"/>
      <c r="E268" s="38">
        <f t="shared" si="63"/>
        <v>151023</v>
      </c>
      <c r="F268" s="38">
        <f t="shared" si="63"/>
        <v>0</v>
      </c>
      <c r="G268" s="38">
        <f t="shared" si="63"/>
        <v>-151023</v>
      </c>
      <c r="H268" s="38">
        <v>0</v>
      </c>
      <c r="I268" s="38">
        <v>0</v>
      </c>
      <c r="J268" s="38">
        <f t="shared" si="64"/>
        <v>0</v>
      </c>
      <c r="K268" s="38">
        <v>0</v>
      </c>
      <c r="L268" s="38">
        <v>0</v>
      </c>
      <c r="M268" s="38">
        <f t="shared" si="65"/>
        <v>0</v>
      </c>
      <c r="N268" s="38">
        <v>0</v>
      </c>
      <c r="O268" s="38">
        <v>0</v>
      </c>
      <c r="P268" s="38">
        <f t="shared" si="66"/>
        <v>0</v>
      </c>
      <c r="Q268" s="38">
        <v>0</v>
      </c>
      <c r="R268" s="38">
        <v>0</v>
      </c>
      <c r="S268" s="38">
        <f t="shared" si="67"/>
        <v>0</v>
      </c>
      <c r="T268" s="38">
        <v>0</v>
      </c>
      <c r="U268" s="38">
        <v>0</v>
      </c>
      <c r="V268" s="38">
        <f t="shared" si="68"/>
        <v>0</v>
      </c>
      <c r="W268" s="38">
        <v>0</v>
      </c>
      <c r="X268" s="38">
        <v>0</v>
      </c>
      <c r="Y268" s="38">
        <f t="shared" si="69"/>
        <v>0</v>
      </c>
      <c r="Z268" s="38">
        <v>0</v>
      </c>
      <c r="AA268" s="38">
        <v>0</v>
      </c>
      <c r="AB268" s="38">
        <f t="shared" si="70"/>
        <v>0</v>
      </c>
      <c r="AC268" s="38">
        <v>151023</v>
      </c>
      <c r="AD268" s="38">
        <f>151023-151023</f>
        <v>0</v>
      </c>
      <c r="AE268" s="38">
        <f t="shared" si="71"/>
        <v>-151023</v>
      </c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</row>
    <row r="269" spans="1:255" ht="33.75" customHeight="1" x14ac:dyDescent="0.25">
      <c r="A269" s="42" t="s">
        <v>248</v>
      </c>
      <c r="B269" s="37"/>
      <c r="C269" s="37"/>
      <c r="D269" s="40"/>
      <c r="E269" s="38">
        <f t="shared" si="63"/>
        <v>180977</v>
      </c>
      <c r="F269" s="38">
        <f t="shared" si="63"/>
        <v>0</v>
      </c>
      <c r="G269" s="38">
        <f t="shared" si="63"/>
        <v>-180977</v>
      </c>
      <c r="H269" s="38">
        <v>0</v>
      </c>
      <c r="I269" s="38">
        <v>0</v>
      </c>
      <c r="J269" s="38">
        <f t="shared" si="64"/>
        <v>0</v>
      </c>
      <c r="K269" s="38">
        <v>0</v>
      </c>
      <c r="L269" s="38">
        <v>0</v>
      </c>
      <c r="M269" s="38">
        <f t="shared" si="65"/>
        <v>0</v>
      </c>
      <c r="N269" s="38">
        <v>0</v>
      </c>
      <c r="O269" s="38">
        <v>0</v>
      </c>
      <c r="P269" s="38">
        <f t="shared" si="66"/>
        <v>0</v>
      </c>
      <c r="Q269" s="38">
        <v>0</v>
      </c>
      <c r="R269" s="38">
        <v>0</v>
      </c>
      <c r="S269" s="38">
        <f t="shared" si="67"/>
        <v>0</v>
      </c>
      <c r="T269" s="38">
        <v>0</v>
      </c>
      <c r="U269" s="38">
        <v>0</v>
      </c>
      <c r="V269" s="38">
        <f t="shared" si="68"/>
        <v>0</v>
      </c>
      <c r="W269" s="38">
        <v>0</v>
      </c>
      <c r="X269" s="38">
        <v>0</v>
      </c>
      <c r="Y269" s="38">
        <f t="shared" si="69"/>
        <v>0</v>
      </c>
      <c r="Z269" s="38">
        <v>0</v>
      </c>
      <c r="AA269" s="38">
        <v>0</v>
      </c>
      <c r="AB269" s="38">
        <f t="shared" si="70"/>
        <v>0</v>
      </c>
      <c r="AC269" s="38">
        <v>180977</v>
      </c>
      <c r="AD269" s="38">
        <f>180977-180977</f>
        <v>0</v>
      </c>
      <c r="AE269" s="38">
        <f t="shared" si="71"/>
        <v>-180977</v>
      </c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</row>
    <row r="270" spans="1:255" x14ac:dyDescent="0.25">
      <c r="A270" s="39" t="s">
        <v>249</v>
      </c>
      <c r="B270" s="37">
        <v>2</v>
      </c>
      <c r="C270" s="37">
        <v>604</v>
      </c>
      <c r="D270" s="40">
        <v>5206</v>
      </c>
      <c r="E270" s="38">
        <f t="shared" si="63"/>
        <v>28210</v>
      </c>
      <c r="F270" s="38">
        <f t="shared" si="63"/>
        <v>28210</v>
      </c>
      <c r="G270" s="38">
        <f t="shared" si="63"/>
        <v>0</v>
      </c>
      <c r="H270" s="38">
        <v>0</v>
      </c>
      <c r="I270" s="38">
        <v>0</v>
      </c>
      <c r="J270" s="38">
        <f t="shared" si="64"/>
        <v>0</v>
      </c>
      <c r="K270" s="38">
        <v>0</v>
      </c>
      <c r="L270" s="38">
        <v>0</v>
      </c>
      <c r="M270" s="38">
        <f t="shared" si="65"/>
        <v>0</v>
      </c>
      <c r="N270" s="38">
        <v>0</v>
      </c>
      <c r="O270" s="38">
        <v>0</v>
      </c>
      <c r="P270" s="38">
        <f t="shared" si="66"/>
        <v>0</v>
      </c>
      <c r="Q270" s="38">
        <v>0</v>
      </c>
      <c r="R270" s="38">
        <v>0</v>
      </c>
      <c r="S270" s="38">
        <f t="shared" si="67"/>
        <v>0</v>
      </c>
      <c r="T270" s="38">
        <v>0</v>
      </c>
      <c r="U270" s="38">
        <v>0</v>
      </c>
      <c r="V270" s="38">
        <f t="shared" si="68"/>
        <v>0</v>
      </c>
      <c r="W270" s="38">
        <v>28210</v>
      </c>
      <c r="X270" s="38">
        <v>28210</v>
      </c>
      <c r="Y270" s="38">
        <f t="shared" si="69"/>
        <v>0</v>
      </c>
      <c r="Z270" s="38">
        <v>0</v>
      </c>
      <c r="AA270" s="38">
        <v>0</v>
      </c>
      <c r="AB270" s="38">
        <f t="shared" si="70"/>
        <v>0</v>
      </c>
      <c r="AC270" s="38">
        <v>0</v>
      </c>
      <c r="AD270" s="38">
        <v>0</v>
      </c>
      <c r="AE270" s="38">
        <f t="shared" si="71"/>
        <v>0</v>
      </c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</row>
    <row r="271" spans="1:255" ht="94.5" x14ac:dyDescent="0.25">
      <c r="A271" s="29" t="s">
        <v>250</v>
      </c>
      <c r="B271" s="36">
        <v>2</v>
      </c>
      <c r="C271" s="36">
        <v>603</v>
      </c>
      <c r="D271" s="40">
        <v>5206</v>
      </c>
      <c r="E271" s="38">
        <f t="shared" si="63"/>
        <v>2536370</v>
      </c>
      <c r="F271" s="38">
        <f t="shared" si="63"/>
        <v>2536370</v>
      </c>
      <c r="G271" s="38">
        <f t="shared" si="63"/>
        <v>0</v>
      </c>
      <c r="H271" s="38">
        <f>1004020</f>
        <v>1004020</v>
      </c>
      <c r="I271" s="38">
        <f>136049</f>
        <v>136049</v>
      </c>
      <c r="J271" s="38">
        <f t="shared" si="64"/>
        <v>-867971</v>
      </c>
      <c r="K271" s="38">
        <f>200804+200804-9327</f>
        <v>392281</v>
      </c>
      <c r="L271" s="38">
        <f>200804+200804-9327</f>
        <v>392281</v>
      </c>
      <c r="M271" s="38">
        <f t="shared" si="65"/>
        <v>0</v>
      </c>
      <c r="N271" s="38">
        <f>58954+35608+32160+9327</f>
        <v>136049</v>
      </c>
      <c r="O271" s="38">
        <f>58954+35608+32160+9327-136049</f>
        <v>0</v>
      </c>
      <c r="P271" s="38">
        <f t="shared" si="66"/>
        <v>-136049</v>
      </c>
      <c r="Q271" s="38">
        <v>0</v>
      </c>
      <c r="R271" s="38">
        <v>0</v>
      </c>
      <c r="S271" s="38">
        <f t="shared" si="67"/>
        <v>0</v>
      </c>
      <c r="T271" s="38">
        <v>0</v>
      </c>
      <c r="U271" s="38">
        <v>0</v>
      </c>
      <c r="V271" s="38">
        <f t="shared" si="68"/>
        <v>0</v>
      </c>
      <c r="W271" s="38">
        <v>1004020</v>
      </c>
      <c r="X271" s="38">
        <v>1004020</v>
      </c>
      <c r="Y271" s="38">
        <f t="shared" si="69"/>
        <v>0</v>
      </c>
      <c r="Z271" s="38"/>
      <c r="AA271" s="38"/>
      <c r="AB271" s="38">
        <f t="shared" si="70"/>
        <v>0</v>
      </c>
      <c r="AC271" s="38"/>
      <c r="AD271" s="38">
        <v>1004020</v>
      </c>
      <c r="AE271" s="38">
        <f t="shared" si="71"/>
        <v>1004020</v>
      </c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</row>
    <row r="272" spans="1:255" ht="94.5" x14ac:dyDescent="0.25">
      <c r="A272" s="29" t="s">
        <v>251</v>
      </c>
      <c r="B272" s="36">
        <v>2</v>
      </c>
      <c r="C272" s="36">
        <v>624</v>
      </c>
      <c r="D272" s="40">
        <v>5206</v>
      </c>
      <c r="E272" s="38">
        <f t="shared" si="63"/>
        <v>96000</v>
      </c>
      <c r="F272" s="38">
        <f t="shared" si="63"/>
        <v>96000</v>
      </c>
      <c r="G272" s="38">
        <f t="shared" si="63"/>
        <v>0</v>
      </c>
      <c r="H272" s="38">
        <v>0</v>
      </c>
      <c r="I272" s="38">
        <v>0</v>
      </c>
      <c r="J272" s="38">
        <f t="shared" si="64"/>
        <v>0</v>
      </c>
      <c r="K272" s="38">
        <v>0</v>
      </c>
      <c r="L272" s="38">
        <v>0</v>
      </c>
      <c r="M272" s="38">
        <f t="shared" si="65"/>
        <v>0</v>
      </c>
      <c r="N272" s="38">
        <v>0</v>
      </c>
      <c r="O272" s="38">
        <v>0</v>
      </c>
      <c r="P272" s="38">
        <f t="shared" si="66"/>
        <v>0</v>
      </c>
      <c r="Q272" s="38">
        <v>0</v>
      </c>
      <c r="R272" s="38">
        <v>0</v>
      </c>
      <c r="S272" s="38">
        <f t="shared" si="67"/>
        <v>0</v>
      </c>
      <c r="T272" s="38">
        <v>0</v>
      </c>
      <c r="U272" s="38">
        <v>0</v>
      </c>
      <c r="V272" s="38">
        <f t="shared" si="68"/>
        <v>0</v>
      </c>
      <c r="W272" s="38">
        <v>68000</v>
      </c>
      <c r="X272" s="38">
        <v>68000</v>
      </c>
      <c r="Y272" s="38">
        <f t="shared" si="69"/>
        <v>0</v>
      </c>
      <c r="Z272" s="38">
        <v>0</v>
      </c>
      <c r="AA272" s="38">
        <v>0</v>
      </c>
      <c r="AB272" s="38">
        <f t="shared" si="70"/>
        <v>0</v>
      </c>
      <c r="AC272" s="38">
        <v>28000</v>
      </c>
      <c r="AD272" s="38">
        <v>28000</v>
      </c>
      <c r="AE272" s="38">
        <f t="shared" si="71"/>
        <v>0</v>
      </c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</row>
    <row r="273" spans="1:255" ht="63" x14ac:dyDescent="0.25">
      <c r="A273" s="29" t="s">
        <v>252</v>
      </c>
      <c r="B273" s="36">
        <v>2</v>
      </c>
      <c r="C273" s="36">
        <v>624</v>
      </c>
      <c r="D273" s="40">
        <v>5206</v>
      </c>
      <c r="E273" s="38">
        <f t="shared" ref="E273:G339" si="87">H273+K273+N273+Q273+T273+W273+Z273+AC273</f>
        <v>96000</v>
      </c>
      <c r="F273" s="38">
        <f t="shared" si="87"/>
        <v>96000</v>
      </c>
      <c r="G273" s="38">
        <f t="shared" si="87"/>
        <v>0</v>
      </c>
      <c r="H273" s="38">
        <v>0</v>
      </c>
      <c r="I273" s="38">
        <v>0</v>
      </c>
      <c r="J273" s="38">
        <f t="shared" ref="J273:J339" si="88">I273-H273</f>
        <v>0</v>
      </c>
      <c r="K273" s="38">
        <v>0</v>
      </c>
      <c r="L273" s="38">
        <v>0</v>
      </c>
      <c r="M273" s="38">
        <f t="shared" ref="M273:M339" si="89">L273-K273</f>
        <v>0</v>
      </c>
      <c r="N273" s="38">
        <v>0</v>
      </c>
      <c r="O273" s="38">
        <v>0</v>
      </c>
      <c r="P273" s="38">
        <f t="shared" ref="P273:P339" si="90">O273-N273</f>
        <v>0</v>
      </c>
      <c r="Q273" s="38">
        <v>0</v>
      </c>
      <c r="R273" s="38">
        <v>0</v>
      </c>
      <c r="S273" s="38">
        <f t="shared" ref="S273:S339" si="91">R273-Q273</f>
        <v>0</v>
      </c>
      <c r="T273" s="38">
        <v>0</v>
      </c>
      <c r="U273" s="38">
        <v>0</v>
      </c>
      <c r="V273" s="38">
        <f t="shared" ref="V273:V339" si="92">U273-T273</f>
        <v>0</v>
      </c>
      <c r="W273" s="38">
        <v>68000</v>
      </c>
      <c r="X273" s="38">
        <v>68000</v>
      </c>
      <c r="Y273" s="38">
        <f t="shared" ref="Y273:Y339" si="93">X273-W273</f>
        <v>0</v>
      </c>
      <c r="Z273" s="38">
        <v>0</v>
      </c>
      <c r="AA273" s="38">
        <v>0</v>
      </c>
      <c r="AB273" s="38">
        <f t="shared" ref="AB273:AB339" si="94">AA273-Z273</f>
        <v>0</v>
      </c>
      <c r="AC273" s="38">
        <v>28000</v>
      </c>
      <c r="AD273" s="38">
        <v>28000</v>
      </c>
      <c r="AE273" s="38">
        <f t="shared" ref="AE273:AE339" si="95">AD273-AC273</f>
        <v>0</v>
      </c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</row>
    <row r="274" spans="1:255" ht="63" x14ac:dyDescent="0.25">
      <c r="A274" s="29" t="s">
        <v>253</v>
      </c>
      <c r="B274" s="36">
        <v>2</v>
      </c>
      <c r="C274" s="36">
        <v>624</v>
      </c>
      <c r="D274" s="40">
        <v>5206</v>
      </c>
      <c r="E274" s="38">
        <f t="shared" si="87"/>
        <v>102000</v>
      </c>
      <c r="F274" s="38">
        <f t="shared" si="87"/>
        <v>102000</v>
      </c>
      <c r="G274" s="38">
        <f t="shared" si="87"/>
        <v>0</v>
      </c>
      <c r="H274" s="38">
        <v>0</v>
      </c>
      <c r="I274" s="38">
        <v>0</v>
      </c>
      <c r="J274" s="38">
        <f t="shared" si="88"/>
        <v>0</v>
      </c>
      <c r="K274" s="38">
        <v>0</v>
      </c>
      <c r="L274" s="38">
        <v>0</v>
      </c>
      <c r="M274" s="38">
        <f t="shared" si="89"/>
        <v>0</v>
      </c>
      <c r="N274" s="38">
        <v>0</v>
      </c>
      <c r="O274" s="38">
        <v>0</v>
      </c>
      <c r="P274" s="38">
        <f t="shared" si="90"/>
        <v>0</v>
      </c>
      <c r="Q274" s="38">
        <v>0</v>
      </c>
      <c r="R274" s="38">
        <v>0</v>
      </c>
      <c r="S274" s="38">
        <f t="shared" si="91"/>
        <v>0</v>
      </c>
      <c r="T274" s="38">
        <v>0</v>
      </c>
      <c r="U274" s="38">
        <v>0</v>
      </c>
      <c r="V274" s="38">
        <f t="shared" si="92"/>
        <v>0</v>
      </c>
      <c r="W274" s="38">
        <v>72000</v>
      </c>
      <c r="X274" s="38">
        <v>72000</v>
      </c>
      <c r="Y274" s="38">
        <f t="shared" si="93"/>
        <v>0</v>
      </c>
      <c r="Z274" s="38">
        <v>0</v>
      </c>
      <c r="AA274" s="38">
        <v>0</v>
      </c>
      <c r="AB274" s="38">
        <f t="shared" si="94"/>
        <v>0</v>
      </c>
      <c r="AC274" s="38">
        <v>30000</v>
      </c>
      <c r="AD274" s="38">
        <v>30000</v>
      </c>
      <c r="AE274" s="38">
        <f t="shared" si="95"/>
        <v>0</v>
      </c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</row>
    <row r="275" spans="1:255" ht="94.5" x14ac:dyDescent="0.25">
      <c r="A275" s="35" t="s">
        <v>254</v>
      </c>
      <c r="B275" s="36">
        <v>2</v>
      </c>
      <c r="C275" s="36">
        <v>606</v>
      </c>
      <c r="D275" s="40">
        <v>5206</v>
      </c>
      <c r="E275" s="38">
        <f t="shared" si="87"/>
        <v>1535622</v>
      </c>
      <c r="F275" s="38">
        <f t="shared" si="87"/>
        <v>1535622</v>
      </c>
      <c r="G275" s="38">
        <f t="shared" si="87"/>
        <v>0</v>
      </c>
      <c r="H275" s="38">
        <v>0</v>
      </c>
      <c r="I275" s="38">
        <v>0</v>
      </c>
      <c r="J275" s="38">
        <f t="shared" si="88"/>
        <v>0</v>
      </c>
      <c r="K275" s="38">
        <v>0</v>
      </c>
      <c r="L275" s="38">
        <v>0</v>
      </c>
      <c r="M275" s="38">
        <f t="shared" si="89"/>
        <v>0</v>
      </c>
      <c r="N275" s="38">
        <v>143770</v>
      </c>
      <c r="O275" s="38">
        <v>143770</v>
      </c>
      <c r="P275" s="38">
        <f t="shared" si="90"/>
        <v>0</v>
      </c>
      <c r="Q275" s="38">
        <v>0</v>
      </c>
      <c r="R275" s="38">
        <v>0</v>
      </c>
      <c r="S275" s="38">
        <f t="shared" si="91"/>
        <v>0</v>
      </c>
      <c r="T275" s="38">
        <v>0</v>
      </c>
      <c r="U275" s="38">
        <v>0</v>
      </c>
      <c r="V275" s="38">
        <f t="shared" si="92"/>
        <v>0</v>
      </c>
      <c r="W275" s="38">
        <v>831852</v>
      </c>
      <c r="X275" s="38">
        <v>831852</v>
      </c>
      <c r="Y275" s="38">
        <f t="shared" si="93"/>
        <v>0</v>
      </c>
      <c r="Z275" s="38">
        <v>0</v>
      </c>
      <c r="AA275" s="38">
        <v>0</v>
      </c>
      <c r="AB275" s="38">
        <f t="shared" si="94"/>
        <v>0</v>
      </c>
      <c r="AC275" s="38">
        <v>560000</v>
      </c>
      <c r="AD275" s="38">
        <v>560000</v>
      </c>
      <c r="AE275" s="38">
        <f t="shared" si="95"/>
        <v>0</v>
      </c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</row>
    <row r="276" spans="1:255" ht="126" x14ac:dyDescent="0.25">
      <c r="A276" s="29" t="s">
        <v>255</v>
      </c>
      <c r="B276" s="30">
        <v>2</v>
      </c>
      <c r="C276" s="30">
        <v>606</v>
      </c>
      <c r="D276" s="37">
        <v>5206</v>
      </c>
      <c r="E276" s="38">
        <f t="shared" si="87"/>
        <v>33634</v>
      </c>
      <c r="F276" s="38">
        <f t="shared" si="87"/>
        <v>33634</v>
      </c>
      <c r="G276" s="38">
        <f t="shared" si="87"/>
        <v>0</v>
      </c>
      <c r="H276" s="38">
        <v>0</v>
      </c>
      <c r="I276" s="38">
        <v>0</v>
      </c>
      <c r="J276" s="38">
        <f t="shared" si="88"/>
        <v>0</v>
      </c>
      <c r="K276" s="38">
        <v>0</v>
      </c>
      <c r="L276" s="38">
        <v>0</v>
      </c>
      <c r="M276" s="38">
        <f t="shared" si="89"/>
        <v>0</v>
      </c>
      <c r="N276" s="38">
        <v>0</v>
      </c>
      <c r="O276" s="38">
        <v>0</v>
      </c>
      <c r="P276" s="38">
        <f t="shared" si="90"/>
        <v>0</v>
      </c>
      <c r="Q276" s="38">
        <v>0</v>
      </c>
      <c r="R276" s="38">
        <v>0</v>
      </c>
      <c r="S276" s="38">
        <f t="shared" si="91"/>
        <v>0</v>
      </c>
      <c r="T276" s="38">
        <v>0</v>
      </c>
      <c r="U276" s="38">
        <v>0</v>
      </c>
      <c r="V276" s="38">
        <f t="shared" si="92"/>
        <v>0</v>
      </c>
      <c r="W276" s="38">
        <v>33634</v>
      </c>
      <c r="X276" s="38">
        <v>33634</v>
      </c>
      <c r="Y276" s="38">
        <f t="shared" si="93"/>
        <v>0</v>
      </c>
      <c r="Z276" s="38">
        <v>0</v>
      </c>
      <c r="AA276" s="38">
        <v>0</v>
      </c>
      <c r="AB276" s="38">
        <f t="shared" si="94"/>
        <v>0</v>
      </c>
      <c r="AC276" s="38">
        <v>0</v>
      </c>
      <c r="AD276" s="38">
        <v>0</v>
      </c>
      <c r="AE276" s="38">
        <f t="shared" si="95"/>
        <v>0</v>
      </c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</row>
    <row r="277" spans="1:255" ht="47.25" x14ac:dyDescent="0.25">
      <c r="A277" s="29" t="s">
        <v>256</v>
      </c>
      <c r="B277" s="30">
        <v>2</v>
      </c>
      <c r="C277" s="30">
        <v>606</v>
      </c>
      <c r="D277" s="37">
        <v>5206</v>
      </c>
      <c r="E277" s="38">
        <f t="shared" si="87"/>
        <v>18646</v>
      </c>
      <c r="F277" s="38">
        <f t="shared" si="87"/>
        <v>18646</v>
      </c>
      <c r="G277" s="38">
        <f t="shared" si="87"/>
        <v>0</v>
      </c>
      <c r="H277" s="38">
        <v>0</v>
      </c>
      <c r="I277" s="38">
        <v>0</v>
      </c>
      <c r="J277" s="38">
        <f t="shared" si="88"/>
        <v>0</v>
      </c>
      <c r="K277" s="38">
        <v>0</v>
      </c>
      <c r="L277" s="38">
        <v>0</v>
      </c>
      <c r="M277" s="38">
        <f t="shared" si="89"/>
        <v>0</v>
      </c>
      <c r="N277" s="38">
        <v>0</v>
      </c>
      <c r="O277" s="38">
        <v>0</v>
      </c>
      <c r="P277" s="38">
        <f t="shared" si="90"/>
        <v>0</v>
      </c>
      <c r="Q277" s="38">
        <v>0</v>
      </c>
      <c r="R277" s="38">
        <v>0</v>
      </c>
      <c r="S277" s="38">
        <f t="shared" si="91"/>
        <v>0</v>
      </c>
      <c r="T277" s="38">
        <v>0</v>
      </c>
      <c r="U277" s="38">
        <v>0</v>
      </c>
      <c r="V277" s="38">
        <f t="shared" si="92"/>
        <v>0</v>
      </c>
      <c r="W277" s="38">
        <v>18646</v>
      </c>
      <c r="X277" s="38">
        <v>18646</v>
      </c>
      <c r="Y277" s="38">
        <f t="shared" si="93"/>
        <v>0</v>
      </c>
      <c r="Z277" s="38">
        <v>0</v>
      </c>
      <c r="AA277" s="38">
        <v>0</v>
      </c>
      <c r="AB277" s="38">
        <f t="shared" si="94"/>
        <v>0</v>
      </c>
      <c r="AC277" s="38">
        <v>0</v>
      </c>
      <c r="AD277" s="38">
        <v>0</v>
      </c>
      <c r="AE277" s="38">
        <f t="shared" si="95"/>
        <v>0</v>
      </c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</row>
    <row r="278" spans="1:255" ht="110.25" x14ac:dyDescent="0.25">
      <c r="A278" s="29" t="s">
        <v>257</v>
      </c>
      <c r="B278" s="30">
        <v>2</v>
      </c>
      <c r="C278" s="30">
        <v>606</v>
      </c>
      <c r="D278" s="37">
        <v>5206</v>
      </c>
      <c r="E278" s="38">
        <f t="shared" si="87"/>
        <v>1409547</v>
      </c>
      <c r="F278" s="38">
        <f t="shared" si="87"/>
        <v>1667540</v>
      </c>
      <c r="G278" s="38">
        <f t="shared" si="87"/>
        <v>257993</v>
      </c>
      <c r="H278" s="38">
        <v>0</v>
      </c>
      <c r="I278" s="38">
        <f>106970+151023</f>
        <v>257993</v>
      </c>
      <c r="J278" s="38">
        <f t="shared" si="88"/>
        <v>257993</v>
      </c>
      <c r="K278" s="38">
        <v>0</v>
      </c>
      <c r="L278" s="38">
        <v>0</v>
      </c>
      <c r="M278" s="38">
        <f t="shared" si="89"/>
        <v>0</v>
      </c>
      <c r="N278" s="38">
        <f>132049+20026</f>
        <v>152075</v>
      </c>
      <c r="O278" s="38">
        <f>132049+20026</f>
        <v>152075</v>
      </c>
      <c r="P278" s="38">
        <f t="shared" si="90"/>
        <v>0</v>
      </c>
      <c r="Q278" s="38">
        <v>0</v>
      </c>
      <c r="R278" s="38">
        <v>0</v>
      </c>
      <c r="S278" s="38">
        <f t="shared" si="91"/>
        <v>0</v>
      </c>
      <c r="T278" s="38">
        <v>0</v>
      </c>
      <c r="U278" s="38">
        <v>0</v>
      </c>
      <c r="V278" s="38">
        <f t="shared" si="92"/>
        <v>0</v>
      </c>
      <c r="W278" s="38">
        <v>1257472</v>
      </c>
      <c r="X278" s="38">
        <v>1257472</v>
      </c>
      <c r="Y278" s="38">
        <f t="shared" si="93"/>
        <v>0</v>
      </c>
      <c r="Z278" s="38">
        <v>0</v>
      </c>
      <c r="AA278" s="38">
        <v>0</v>
      </c>
      <c r="AB278" s="38">
        <f t="shared" si="94"/>
        <v>0</v>
      </c>
      <c r="AC278" s="38">
        <v>0</v>
      </c>
      <c r="AD278" s="38">
        <v>0</v>
      </c>
      <c r="AE278" s="38">
        <f t="shared" si="95"/>
        <v>0</v>
      </c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</row>
    <row r="279" spans="1:255" ht="110.25" x14ac:dyDescent="0.25">
      <c r="A279" s="29" t="s">
        <v>258</v>
      </c>
      <c r="B279" s="30">
        <v>2</v>
      </c>
      <c r="C279" s="30">
        <v>619</v>
      </c>
      <c r="D279" s="37">
        <v>5206</v>
      </c>
      <c r="E279" s="38">
        <f t="shared" si="87"/>
        <v>100017</v>
      </c>
      <c r="F279" s="38">
        <f t="shared" si="87"/>
        <v>100017</v>
      </c>
      <c r="G279" s="38">
        <f t="shared" si="87"/>
        <v>0</v>
      </c>
      <c r="H279" s="38">
        <v>0</v>
      </c>
      <c r="I279" s="38">
        <v>0</v>
      </c>
      <c r="J279" s="38">
        <f t="shared" si="88"/>
        <v>0</v>
      </c>
      <c r="K279" s="38"/>
      <c r="L279" s="38"/>
      <c r="M279" s="38">
        <f t="shared" si="89"/>
        <v>0</v>
      </c>
      <c r="N279" s="38"/>
      <c r="O279" s="38"/>
      <c r="P279" s="38">
        <f t="shared" si="90"/>
        <v>0</v>
      </c>
      <c r="Q279" s="38">
        <v>0</v>
      </c>
      <c r="R279" s="38">
        <v>0</v>
      </c>
      <c r="S279" s="38">
        <f t="shared" si="91"/>
        <v>0</v>
      </c>
      <c r="T279" s="38">
        <v>0</v>
      </c>
      <c r="U279" s="38">
        <v>0</v>
      </c>
      <c r="V279" s="38">
        <f t="shared" si="92"/>
        <v>0</v>
      </c>
      <c r="W279" s="38">
        <v>0</v>
      </c>
      <c r="X279" s="38">
        <v>0</v>
      </c>
      <c r="Y279" s="38">
        <f t="shared" si="93"/>
        <v>0</v>
      </c>
      <c r="Z279" s="38">
        <v>0</v>
      </c>
      <c r="AA279" s="38">
        <v>0</v>
      </c>
      <c r="AB279" s="38">
        <f t="shared" si="94"/>
        <v>0</v>
      </c>
      <c r="AC279" s="38">
        <v>100017</v>
      </c>
      <c r="AD279" s="38">
        <v>100017</v>
      </c>
      <c r="AE279" s="38">
        <f t="shared" si="95"/>
        <v>0</v>
      </c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</row>
    <row r="280" spans="1:255" ht="31.5" x14ac:dyDescent="0.25">
      <c r="A280" s="29" t="s">
        <v>259</v>
      </c>
      <c r="B280" s="30">
        <v>2</v>
      </c>
      <c r="C280" s="30">
        <v>606</v>
      </c>
      <c r="D280" s="37">
        <v>5206</v>
      </c>
      <c r="E280" s="38">
        <f t="shared" si="87"/>
        <v>133200</v>
      </c>
      <c r="F280" s="38">
        <f t="shared" si="87"/>
        <v>133200</v>
      </c>
      <c r="G280" s="38">
        <f t="shared" si="87"/>
        <v>0</v>
      </c>
      <c r="H280" s="38">
        <v>0</v>
      </c>
      <c r="I280" s="38">
        <v>0</v>
      </c>
      <c r="J280" s="38">
        <f t="shared" si="88"/>
        <v>0</v>
      </c>
      <c r="K280" s="38">
        <v>0</v>
      </c>
      <c r="L280" s="38">
        <v>0</v>
      </c>
      <c r="M280" s="38">
        <f t="shared" si="89"/>
        <v>0</v>
      </c>
      <c r="N280" s="38">
        <v>133200</v>
      </c>
      <c r="O280" s="38">
        <v>133200</v>
      </c>
      <c r="P280" s="38">
        <f t="shared" si="90"/>
        <v>0</v>
      </c>
      <c r="Q280" s="38">
        <v>0</v>
      </c>
      <c r="R280" s="38">
        <v>0</v>
      </c>
      <c r="S280" s="38">
        <f t="shared" si="91"/>
        <v>0</v>
      </c>
      <c r="T280" s="38">
        <v>0</v>
      </c>
      <c r="U280" s="38">
        <v>0</v>
      </c>
      <c r="V280" s="38">
        <f t="shared" si="92"/>
        <v>0</v>
      </c>
      <c r="W280" s="38">
        <v>0</v>
      </c>
      <c r="X280" s="38">
        <v>0</v>
      </c>
      <c r="Y280" s="38">
        <f t="shared" si="93"/>
        <v>0</v>
      </c>
      <c r="Z280" s="38">
        <v>0</v>
      </c>
      <c r="AA280" s="38">
        <v>0</v>
      </c>
      <c r="AB280" s="38">
        <f t="shared" si="94"/>
        <v>0</v>
      </c>
      <c r="AC280" s="38">
        <v>0</v>
      </c>
      <c r="AD280" s="38">
        <v>0</v>
      </c>
      <c r="AE280" s="38">
        <f t="shared" si="95"/>
        <v>0</v>
      </c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</row>
    <row r="281" spans="1:255" ht="31.5" x14ac:dyDescent="0.25">
      <c r="A281" s="29" t="s">
        <v>260</v>
      </c>
      <c r="B281" s="30">
        <v>2</v>
      </c>
      <c r="C281" s="30">
        <v>606</v>
      </c>
      <c r="D281" s="37">
        <v>5206</v>
      </c>
      <c r="E281" s="38">
        <f t="shared" si="87"/>
        <v>11489</v>
      </c>
      <c r="F281" s="38">
        <f t="shared" si="87"/>
        <v>11489</v>
      </c>
      <c r="G281" s="38">
        <f t="shared" si="87"/>
        <v>0</v>
      </c>
      <c r="H281" s="38">
        <v>0</v>
      </c>
      <c r="I281" s="38">
        <v>0</v>
      </c>
      <c r="J281" s="38">
        <f t="shared" si="88"/>
        <v>0</v>
      </c>
      <c r="K281" s="38">
        <v>0</v>
      </c>
      <c r="L281" s="38">
        <v>0</v>
      </c>
      <c r="M281" s="38">
        <f t="shared" si="89"/>
        <v>0</v>
      </c>
      <c r="N281" s="38">
        <f>6839-6839+11489</f>
        <v>11489</v>
      </c>
      <c r="O281" s="38">
        <f>6839-6839+11489</f>
        <v>11489</v>
      </c>
      <c r="P281" s="38">
        <f t="shared" si="90"/>
        <v>0</v>
      </c>
      <c r="Q281" s="38">
        <v>0</v>
      </c>
      <c r="R281" s="38">
        <v>0</v>
      </c>
      <c r="S281" s="38">
        <f t="shared" si="91"/>
        <v>0</v>
      </c>
      <c r="T281" s="38">
        <v>0</v>
      </c>
      <c r="U281" s="38">
        <v>0</v>
      </c>
      <c r="V281" s="38">
        <f t="shared" si="92"/>
        <v>0</v>
      </c>
      <c r="W281" s="38">
        <v>0</v>
      </c>
      <c r="X281" s="38">
        <v>0</v>
      </c>
      <c r="Y281" s="38">
        <f t="shared" si="93"/>
        <v>0</v>
      </c>
      <c r="Z281" s="38">
        <v>0</v>
      </c>
      <c r="AA281" s="38">
        <v>0</v>
      </c>
      <c r="AB281" s="38">
        <f t="shared" si="94"/>
        <v>0</v>
      </c>
      <c r="AC281" s="38">
        <v>0</v>
      </c>
      <c r="AD281" s="38">
        <v>0</v>
      </c>
      <c r="AE281" s="38">
        <f t="shared" si="95"/>
        <v>0</v>
      </c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</row>
    <row r="282" spans="1:255" ht="31.5" x14ac:dyDescent="0.25">
      <c r="A282" s="29" t="s">
        <v>261</v>
      </c>
      <c r="B282" s="30">
        <v>2</v>
      </c>
      <c r="C282" s="30">
        <v>606</v>
      </c>
      <c r="D282" s="37">
        <v>5206</v>
      </c>
      <c r="E282" s="38">
        <f t="shared" si="87"/>
        <v>381157</v>
      </c>
      <c r="F282" s="38">
        <f t="shared" si="87"/>
        <v>381157</v>
      </c>
      <c r="G282" s="38">
        <f t="shared" si="87"/>
        <v>0</v>
      </c>
      <c r="H282" s="38">
        <v>0</v>
      </c>
      <c r="I282" s="38">
        <v>0</v>
      </c>
      <c r="J282" s="38">
        <f t="shared" si="88"/>
        <v>0</v>
      </c>
      <c r="K282" s="38">
        <v>0</v>
      </c>
      <c r="L282" s="38">
        <v>0</v>
      </c>
      <c r="M282" s="38">
        <f t="shared" si="89"/>
        <v>0</v>
      </c>
      <c r="N282" s="38">
        <f>110000+16262+72000</f>
        <v>198262</v>
      </c>
      <c r="O282" s="38">
        <f>110000+16262+72000</f>
        <v>198262</v>
      </c>
      <c r="P282" s="38">
        <f t="shared" si="90"/>
        <v>0</v>
      </c>
      <c r="Q282" s="38">
        <v>0</v>
      </c>
      <c r="R282" s="38">
        <v>0</v>
      </c>
      <c r="S282" s="38">
        <f t="shared" si="91"/>
        <v>0</v>
      </c>
      <c r="T282" s="38">
        <v>0</v>
      </c>
      <c r="U282" s="38">
        <v>0</v>
      </c>
      <c r="V282" s="38">
        <f t="shared" si="92"/>
        <v>0</v>
      </c>
      <c r="W282" s="38">
        <v>49157</v>
      </c>
      <c r="X282" s="38">
        <v>49157</v>
      </c>
      <c r="Y282" s="38">
        <f t="shared" si="93"/>
        <v>0</v>
      </c>
      <c r="Z282" s="38">
        <v>0</v>
      </c>
      <c r="AA282" s="38">
        <v>0</v>
      </c>
      <c r="AB282" s="38">
        <f t="shared" si="94"/>
        <v>0</v>
      </c>
      <c r="AC282" s="38">
        <f>150000-16262</f>
        <v>133738</v>
      </c>
      <c r="AD282" s="38">
        <f>150000-16262</f>
        <v>133738</v>
      </c>
      <c r="AE282" s="38">
        <f t="shared" si="95"/>
        <v>0</v>
      </c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</row>
    <row r="283" spans="1:255" ht="94.5" x14ac:dyDescent="0.25">
      <c r="A283" s="29" t="s">
        <v>262</v>
      </c>
      <c r="B283" s="36"/>
      <c r="C283" s="36"/>
      <c r="D283" s="40"/>
      <c r="E283" s="38">
        <f t="shared" si="87"/>
        <v>7170891</v>
      </c>
      <c r="F283" s="38">
        <f t="shared" si="87"/>
        <v>7170891</v>
      </c>
      <c r="G283" s="38">
        <f t="shared" si="87"/>
        <v>0</v>
      </c>
      <c r="H283" s="38">
        <v>0</v>
      </c>
      <c r="I283" s="38">
        <v>0</v>
      </c>
      <c r="J283" s="38">
        <f t="shared" si="88"/>
        <v>0</v>
      </c>
      <c r="K283" s="38">
        <v>0</v>
      </c>
      <c r="L283" s="38">
        <v>0</v>
      </c>
      <c r="M283" s="38">
        <f t="shared" si="89"/>
        <v>0</v>
      </c>
      <c r="N283" s="38">
        <v>0</v>
      </c>
      <c r="O283" s="38">
        <v>0</v>
      </c>
      <c r="P283" s="38">
        <f t="shared" si="90"/>
        <v>0</v>
      </c>
      <c r="Q283" s="38">
        <v>7170891</v>
      </c>
      <c r="R283" s="38">
        <v>7170891</v>
      </c>
      <c r="S283" s="38">
        <f t="shared" si="91"/>
        <v>0</v>
      </c>
      <c r="T283" s="38">
        <v>0</v>
      </c>
      <c r="U283" s="38">
        <v>0</v>
      </c>
      <c r="V283" s="38">
        <f t="shared" si="92"/>
        <v>0</v>
      </c>
      <c r="W283" s="38">
        <v>0</v>
      </c>
      <c r="X283" s="38">
        <v>0</v>
      </c>
      <c r="Y283" s="38">
        <f t="shared" si="93"/>
        <v>0</v>
      </c>
      <c r="Z283" s="38">
        <v>0</v>
      </c>
      <c r="AA283" s="38">
        <v>0</v>
      </c>
      <c r="AB283" s="38">
        <f t="shared" si="94"/>
        <v>0</v>
      </c>
      <c r="AC283" s="38">
        <v>0</v>
      </c>
      <c r="AD283" s="38">
        <v>0</v>
      </c>
      <c r="AE283" s="38">
        <f t="shared" si="95"/>
        <v>0</v>
      </c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</row>
    <row r="284" spans="1:255" x14ac:dyDescent="0.25">
      <c r="A284" s="35" t="s">
        <v>263</v>
      </c>
      <c r="B284" s="36">
        <v>2</v>
      </c>
      <c r="C284" s="36">
        <v>619</v>
      </c>
      <c r="D284" s="36">
        <v>5206</v>
      </c>
      <c r="E284" s="38">
        <f t="shared" si="87"/>
        <v>12659</v>
      </c>
      <c r="F284" s="38">
        <f t="shared" si="87"/>
        <v>12659</v>
      </c>
      <c r="G284" s="38">
        <f t="shared" si="87"/>
        <v>0</v>
      </c>
      <c r="H284" s="38">
        <v>0</v>
      </c>
      <c r="I284" s="38">
        <v>0</v>
      </c>
      <c r="J284" s="38">
        <f t="shared" si="88"/>
        <v>0</v>
      </c>
      <c r="K284" s="38">
        <v>0</v>
      </c>
      <c r="L284" s="38">
        <v>0</v>
      </c>
      <c r="M284" s="38">
        <f t="shared" si="89"/>
        <v>0</v>
      </c>
      <c r="N284" s="38">
        <v>12659</v>
      </c>
      <c r="O284" s="38">
        <v>12659</v>
      </c>
      <c r="P284" s="38">
        <f t="shared" si="90"/>
        <v>0</v>
      </c>
      <c r="Q284" s="38">
        <v>0</v>
      </c>
      <c r="R284" s="38">
        <v>0</v>
      </c>
      <c r="S284" s="38">
        <f t="shared" si="91"/>
        <v>0</v>
      </c>
      <c r="T284" s="38">
        <v>0</v>
      </c>
      <c r="U284" s="38">
        <v>0</v>
      </c>
      <c r="V284" s="38">
        <f t="shared" si="92"/>
        <v>0</v>
      </c>
      <c r="W284" s="38"/>
      <c r="X284" s="38"/>
      <c r="Y284" s="38">
        <f t="shared" si="93"/>
        <v>0</v>
      </c>
      <c r="Z284" s="38">
        <v>0</v>
      </c>
      <c r="AA284" s="38">
        <v>0</v>
      </c>
      <c r="AB284" s="38">
        <f t="shared" si="94"/>
        <v>0</v>
      </c>
      <c r="AC284" s="38">
        <v>0</v>
      </c>
      <c r="AD284" s="38">
        <v>0</v>
      </c>
      <c r="AE284" s="38">
        <f t="shared" si="95"/>
        <v>0</v>
      </c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</row>
    <row r="285" spans="1:255" ht="31.5" x14ac:dyDescent="0.25">
      <c r="A285" s="35" t="s">
        <v>264</v>
      </c>
      <c r="B285" s="36">
        <v>2</v>
      </c>
      <c r="C285" s="36">
        <v>619</v>
      </c>
      <c r="D285" s="36">
        <v>5206</v>
      </c>
      <c r="E285" s="38">
        <f t="shared" si="87"/>
        <v>13793</v>
      </c>
      <c r="F285" s="38">
        <f t="shared" si="87"/>
        <v>13793</v>
      </c>
      <c r="G285" s="38">
        <f t="shared" si="87"/>
        <v>0</v>
      </c>
      <c r="H285" s="38">
        <v>0</v>
      </c>
      <c r="I285" s="38">
        <v>0</v>
      </c>
      <c r="J285" s="38">
        <f t="shared" si="88"/>
        <v>0</v>
      </c>
      <c r="K285" s="38">
        <v>0</v>
      </c>
      <c r="L285" s="38">
        <v>0</v>
      </c>
      <c r="M285" s="38">
        <f t="shared" si="89"/>
        <v>0</v>
      </c>
      <c r="N285" s="38">
        <v>13793</v>
      </c>
      <c r="O285" s="38">
        <v>13793</v>
      </c>
      <c r="P285" s="38">
        <f t="shared" si="90"/>
        <v>0</v>
      </c>
      <c r="Q285" s="38">
        <v>0</v>
      </c>
      <c r="R285" s="38">
        <v>0</v>
      </c>
      <c r="S285" s="38">
        <f t="shared" si="91"/>
        <v>0</v>
      </c>
      <c r="T285" s="38">
        <v>0</v>
      </c>
      <c r="U285" s="38">
        <v>0</v>
      </c>
      <c r="V285" s="38">
        <f t="shared" si="92"/>
        <v>0</v>
      </c>
      <c r="W285" s="38"/>
      <c r="X285" s="38"/>
      <c r="Y285" s="38">
        <f t="shared" si="93"/>
        <v>0</v>
      </c>
      <c r="Z285" s="38">
        <v>0</v>
      </c>
      <c r="AA285" s="38">
        <v>0</v>
      </c>
      <c r="AB285" s="38">
        <f t="shared" si="94"/>
        <v>0</v>
      </c>
      <c r="AC285" s="38">
        <v>0</v>
      </c>
      <c r="AD285" s="38">
        <v>0</v>
      </c>
      <c r="AE285" s="38">
        <f t="shared" si="95"/>
        <v>0</v>
      </c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</row>
    <row r="286" spans="1:255" ht="31.5" x14ac:dyDescent="0.25">
      <c r="A286" s="35" t="s">
        <v>265</v>
      </c>
      <c r="B286" s="36">
        <v>2</v>
      </c>
      <c r="C286" s="36">
        <v>619</v>
      </c>
      <c r="D286" s="36">
        <v>5206</v>
      </c>
      <c r="E286" s="38">
        <f t="shared" si="87"/>
        <v>73860</v>
      </c>
      <c r="F286" s="38">
        <f t="shared" si="87"/>
        <v>73860</v>
      </c>
      <c r="G286" s="38">
        <f t="shared" si="87"/>
        <v>0</v>
      </c>
      <c r="H286" s="38">
        <v>0</v>
      </c>
      <c r="I286" s="38">
        <v>0</v>
      </c>
      <c r="J286" s="38">
        <f t="shared" si="88"/>
        <v>0</v>
      </c>
      <c r="K286" s="38">
        <v>0</v>
      </c>
      <c r="L286" s="38">
        <v>0</v>
      </c>
      <c r="M286" s="38">
        <f t="shared" si="89"/>
        <v>0</v>
      </c>
      <c r="N286" s="38">
        <v>73860</v>
      </c>
      <c r="O286" s="38">
        <v>73860</v>
      </c>
      <c r="P286" s="38">
        <f t="shared" si="90"/>
        <v>0</v>
      </c>
      <c r="Q286" s="38">
        <v>0</v>
      </c>
      <c r="R286" s="38">
        <v>0</v>
      </c>
      <c r="S286" s="38">
        <f t="shared" si="91"/>
        <v>0</v>
      </c>
      <c r="T286" s="38">
        <v>0</v>
      </c>
      <c r="U286" s="38">
        <v>0</v>
      </c>
      <c r="V286" s="38">
        <f t="shared" si="92"/>
        <v>0</v>
      </c>
      <c r="W286" s="38"/>
      <c r="X286" s="38"/>
      <c r="Y286" s="38">
        <f t="shared" si="93"/>
        <v>0</v>
      </c>
      <c r="Z286" s="38">
        <v>0</v>
      </c>
      <c r="AA286" s="38">
        <v>0</v>
      </c>
      <c r="AB286" s="38">
        <f t="shared" si="94"/>
        <v>0</v>
      </c>
      <c r="AC286" s="38">
        <v>0</v>
      </c>
      <c r="AD286" s="38">
        <v>0</v>
      </c>
      <c r="AE286" s="38">
        <f t="shared" si="95"/>
        <v>0</v>
      </c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</row>
    <row r="287" spans="1:255" ht="63" x14ac:dyDescent="0.25">
      <c r="A287" s="35" t="s">
        <v>266</v>
      </c>
      <c r="B287" s="36">
        <v>2</v>
      </c>
      <c r="C287" s="36">
        <v>619</v>
      </c>
      <c r="D287" s="37">
        <v>5206</v>
      </c>
      <c r="E287" s="38">
        <f t="shared" si="87"/>
        <v>17518</v>
      </c>
      <c r="F287" s="38">
        <f t="shared" si="87"/>
        <v>17518</v>
      </c>
      <c r="G287" s="38">
        <f t="shared" si="87"/>
        <v>0</v>
      </c>
      <c r="H287" s="38">
        <v>0</v>
      </c>
      <c r="I287" s="38">
        <v>0</v>
      </c>
      <c r="J287" s="38">
        <f t="shared" si="88"/>
        <v>0</v>
      </c>
      <c r="K287" s="38">
        <v>0</v>
      </c>
      <c r="L287" s="38">
        <v>0</v>
      </c>
      <c r="M287" s="38">
        <f t="shared" si="89"/>
        <v>0</v>
      </c>
      <c r="N287" s="38">
        <v>0</v>
      </c>
      <c r="O287" s="38">
        <v>0</v>
      </c>
      <c r="P287" s="38">
        <f t="shared" si="90"/>
        <v>0</v>
      </c>
      <c r="Q287" s="38">
        <v>0</v>
      </c>
      <c r="R287" s="38">
        <v>0</v>
      </c>
      <c r="S287" s="38">
        <f t="shared" si="91"/>
        <v>0</v>
      </c>
      <c r="T287" s="38">
        <v>0</v>
      </c>
      <c r="U287" s="38">
        <v>0</v>
      </c>
      <c r="V287" s="38">
        <f t="shared" si="92"/>
        <v>0</v>
      </c>
      <c r="W287" s="38">
        <v>17518</v>
      </c>
      <c r="X287" s="38">
        <v>17518</v>
      </c>
      <c r="Y287" s="38">
        <f t="shared" si="93"/>
        <v>0</v>
      </c>
      <c r="Z287" s="38">
        <v>0</v>
      </c>
      <c r="AA287" s="38">
        <v>0</v>
      </c>
      <c r="AB287" s="38">
        <f t="shared" si="94"/>
        <v>0</v>
      </c>
      <c r="AC287" s="38">
        <v>0</v>
      </c>
      <c r="AD287" s="38">
        <v>0</v>
      </c>
      <c r="AE287" s="38">
        <f t="shared" si="95"/>
        <v>0</v>
      </c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</row>
    <row r="288" spans="1:255" ht="31.5" x14ac:dyDescent="0.25">
      <c r="A288" s="35" t="s">
        <v>267</v>
      </c>
      <c r="B288" s="36">
        <v>2</v>
      </c>
      <c r="C288" s="36">
        <v>619</v>
      </c>
      <c r="D288" s="37">
        <v>5206</v>
      </c>
      <c r="E288" s="38">
        <f t="shared" si="87"/>
        <v>62829</v>
      </c>
      <c r="F288" s="38">
        <f t="shared" si="87"/>
        <v>62829</v>
      </c>
      <c r="G288" s="38">
        <f t="shared" si="87"/>
        <v>0</v>
      </c>
      <c r="H288" s="38">
        <v>0</v>
      </c>
      <c r="I288" s="38">
        <v>0</v>
      </c>
      <c r="J288" s="38">
        <f t="shared" si="88"/>
        <v>0</v>
      </c>
      <c r="K288" s="38">
        <v>0</v>
      </c>
      <c r="L288" s="38">
        <v>0</v>
      </c>
      <c r="M288" s="38">
        <f t="shared" si="89"/>
        <v>0</v>
      </c>
      <c r="N288" s="38">
        <v>16078</v>
      </c>
      <c r="O288" s="38">
        <v>16078</v>
      </c>
      <c r="P288" s="38">
        <f t="shared" si="90"/>
        <v>0</v>
      </c>
      <c r="Q288" s="38">
        <v>0</v>
      </c>
      <c r="R288" s="38">
        <v>0</v>
      </c>
      <c r="S288" s="38">
        <f t="shared" si="91"/>
        <v>0</v>
      </c>
      <c r="T288" s="38">
        <v>0</v>
      </c>
      <c r="U288" s="38">
        <v>0</v>
      </c>
      <c r="V288" s="38">
        <f t="shared" si="92"/>
        <v>0</v>
      </c>
      <c r="W288" s="38">
        <v>46751</v>
      </c>
      <c r="X288" s="38">
        <v>46751</v>
      </c>
      <c r="Y288" s="38">
        <f t="shared" si="93"/>
        <v>0</v>
      </c>
      <c r="Z288" s="38">
        <v>0</v>
      </c>
      <c r="AA288" s="38">
        <v>0</v>
      </c>
      <c r="AB288" s="38">
        <f t="shared" si="94"/>
        <v>0</v>
      </c>
      <c r="AC288" s="38">
        <v>0</v>
      </c>
      <c r="AD288" s="38">
        <v>0</v>
      </c>
      <c r="AE288" s="38">
        <f t="shared" si="95"/>
        <v>0</v>
      </c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</row>
    <row r="289" spans="1:255" ht="31.5" x14ac:dyDescent="0.25">
      <c r="A289" s="35" t="s">
        <v>268</v>
      </c>
      <c r="B289" s="36">
        <v>2</v>
      </c>
      <c r="C289" s="36">
        <v>623</v>
      </c>
      <c r="D289" s="37">
        <v>5206</v>
      </c>
      <c r="E289" s="38">
        <f t="shared" si="87"/>
        <v>21131</v>
      </c>
      <c r="F289" s="38">
        <f t="shared" si="87"/>
        <v>21131</v>
      </c>
      <c r="G289" s="38">
        <f t="shared" si="87"/>
        <v>0</v>
      </c>
      <c r="H289" s="38">
        <v>0</v>
      </c>
      <c r="I289" s="38">
        <v>0</v>
      </c>
      <c r="J289" s="38">
        <f t="shared" si="88"/>
        <v>0</v>
      </c>
      <c r="K289" s="38">
        <v>0</v>
      </c>
      <c r="L289" s="38">
        <v>0</v>
      </c>
      <c r="M289" s="38">
        <f t="shared" si="89"/>
        <v>0</v>
      </c>
      <c r="N289" s="38">
        <v>21131</v>
      </c>
      <c r="O289" s="38">
        <v>21131</v>
      </c>
      <c r="P289" s="38">
        <f t="shared" si="90"/>
        <v>0</v>
      </c>
      <c r="Q289" s="38">
        <v>0</v>
      </c>
      <c r="R289" s="38">
        <v>0</v>
      </c>
      <c r="S289" s="38">
        <f t="shared" si="91"/>
        <v>0</v>
      </c>
      <c r="T289" s="38">
        <v>0</v>
      </c>
      <c r="U289" s="38">
        <v>0</v>
      </c>
      <c r="V289" s="38">
        <f t="shared" si="92"/>
        <v>0</v>
      </c>
      <c r="W289" s="38">
        <v>0</v>
      </c>
      <c r="X289" s="38">
        <v>0</v>
      </c>
      <c r="Y289" s="38">
        <f t="shared" si="93"/>
        <v>0</v>
      </c>
      <c r="Z289" s="38">
        <v>0</v>
      </c>
      <c r="AA289" s="38">
        <v>0</v>
      </c>
      <c r="AB289" s="38">
        <f t="shared" si="94"/>
        <v>0</v>
      </c>
      <c r="AC289" s="38">
        <v>0</v>
      </c>
      <c r="AD289" s="38">
        <v>0</v>
      </c>
      <c r="AE289" s="38">
        <f t="shared" si="95"/>
        <v>0</v>
      </c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</row>
    <row r="290" spans="1:255" x14ac:dyDescent="0.25">
      <c r="A290" s="35" t="s">
        <v>269</v>
      </c>
      <c r="B290" s="36">
        <v>2</v>
      </c>
      <c r="C290" s="36">
        <v>619</v>
      </c>
      <c r="D290" s="36">
        <v>5206</v>
      </c>
      <c r="E290" s="38">
        <f t="shared" si="87"/>
        <v>30295</v>
      </c>
      <c r="F290" s="38">
        <f t="shared" si="87"/>
        <v>30295</v>
      </c>
      <c r="G290" s="38">
        <f t="shared" si="87"/>
        <v>0</v>
      </c>
      <c r="H290" s="38">
        <v>0</v>
      </c>
      <c r="I290" s="38">
        <v>0</v>
      </c>
      <c r="J290" s="38">
        <f t="shared" si="88"/>
        <v>0</v>
      </c>
      <c r="K290" s="38">
        <v>0</v>
      </c>
      <c r="L290" s="38">
        <v>0</v>
      </c>
      <c r="M290" s="38">
        <f t="shared" si="89"/>
        <v>0</v>
      </c>
      <c r="N290" s="38">
        <v>30295</v>
      </c>
      <c r="O290" s="38">
        <v>30295</v>
      </c>
      <c r="P290" s="38">
        <f t="shared" si="90"/>
        <v>0</v>
      </c>
      <c r="Q290" s="38">
        <v>0</v>
      </c>
      <c r="R290" s="38">
        <v>0</v>
      </c>
      <c r="S290" s="38">
        <f t="shared" si="91"/>
        <v>0</v>
      </c>
      <c r="T290" s="38">
        <v>0</v>
      </c>
      <c r="U290" s="38">
        <v>0</v>
      </c>
      <c r="V290" s="38">
        <f t="shared" si="92"/>
        <v>0</v>
      </c>
      <c r="W290" s="38">
        <v>0</v>
      </c>
      <c r="X290" s="38">
        <v>0</v>
      </c>
      <c r="Y290" s="38">
        <f t="shared" si="93"/>
        <v>0</v>
      </c>
      <c r="Z290" s="38">
        <v>0</v>
      </c>
      <c r="AA290" s="38">
        <v>0</v>
      </c>
      <c r="AB290" s="38">
        <f t="shared" si="94"/>
        <v>0</v>
      </c>
      <c r="AC290" s="38">
        <v>0</v>
      </c>
      <c r="AD290" s="38">
        <v>0</v>
      </c>
      <c r="AE290" s="38">
        <f t="shared" si="95"/>
        <v>0</v>
      </c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</row>
    <row r="291" spans="1:255" ht="31.5" x14ac:dyDescent="0.25">
      <c r="A291" s="35" t="s">
        <v>270</v>
      </c>
      <c r="B291" s="36">
        <v>2</v>
      </c>
      <c r="C291" s="36">
        <v>623</v>
      </c>
      <c r="D291" s="37">
        <v>5206</v>
      </c>
      <c r="E291" s="38">
        <f t="shared" si="87"/>
        <v>6312524</v>
      </c>
      <c r="F291" s="38">
        <f t="shared" si="87"/>
        <v>6312524</v>
      </c>
      <c r="G291" s="38">
        <f t="shared" si="87"/>
        <v>0</v>
      </c>
      <c r="H291" s="38">
        <v>0</v>
      </c>
      <c r="I291" s="38">
        <v>0</v>
      </c>
      <c r="J291" s="38">
        <f t="shared" si="88"/>
        <v>0</v>
      </c>
      <c r="K291" s="38">
        <v>0</v>
      </c>
      <c r="L291" s="38">
        <v>0</v>
      </c>
      <c r="M291" s="38">
        <f t="shared" si="89"/>
        <v>0</v>
      </c>
      <c r="N291" s="38">
        <v>0</v>
      </c>
      <c r="O291" s="38">
        <v>0</v>
      </c>
      <c r="P291" s="38">
        <f t="shared" si="90"/>
        <v>0</v>
      </c>
      <c r="Q291" s="38">
        <v>0</v>
      </c>
      <c r="R291" s="38">
        <v>0</v>
      </c>
      <c r="S291" s="38">
        <f t="shared" si="91"/>
        <v>0</v>
      </c>
      <c r="T291" s="38">
        <v>0</v>
      </c>
      <c r="U291" s="38">
        <v>0</v>
      </c>
      <c r="V291" s="38">
        <f t="shared" si="92"/>
        <v>0</v>
      </c>
      <c r="W291" s="38">
        <v>0</v>
      </c>
      <c r="X291" s="38">
        <v>0</v>
      </c>
      <c r="Y291" s="38">
        <f t="shared" si="93"/>
        <v>0</v>
      </c>
      <c r="Z291" s="38">
        <v>0</v>
      </c>
      <c r="AA291" s="38">
        <v>0</v>
      </c>
      <c r="AB291" s="38">
        <f t="shared" si="94"/>
        <v>0</v>
      </c>
      <c r="AC291" s="38">
        <f>6276644+35880</f>
        <v>6312524</v>
      </c>
      <c r="AD291" s="38">
        <f>6276644+35880</f>
        <v>6312524</v>
      </c>
      <c r="AE291" s="38">
        <f t="shared" si="95"/>
        <v>0</v>
      </c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</row>
    <row r="292" spans="1:255" ht="31.5" x14ac:dyDescent="0.25">
      <c r="A292" s="35" t="s">
        <v>271</v>
      </c>
      <c r="B292" s="36">
        <v>2</v>
      </c>
      <c r="C292" s="36">
        <v>623</v>
      </c>
      <c r="D292" s="37">
        <v>5206</v>
      </c>
      <c r="E292" s="38">
        <f t="shared" si="87"/>
        <v>0</v>
      </c>
      <c r="F292" s="38">
        <f t="shared" si="87"/>
        <v>8435</v>
      </c>
      <c r="G292" s="38">
        <f t="shared" si="87"/>
        <v>8435</v>
      </c>
      <c r="H292" s="38">
        <v>0</v>
      </c>
      <c r="I292" s="38">
        <v>0</v>
      </c>
      <c r="J292" s="38">
        <f t="shared" si="88"/>
        <v>0</v>
      </c>
      <c r="K292" s="38">
        <v>0</v>
      </c>
      <c r="L292" s="38">
        <v>0</v>
      </c>
      <c r="M292" s="38">
        <f t="shared" si="89"/>
        <v>0</v>
      </c>
      <c r="N292" s="38">
        <f>42285-42285</f>
        <v>0</v>
      </c>
      <c r="O292" s="38">
        <v>8435</v>
      </c>
      <c r="P292" s="38">
        <f t="shared" si="90"/>
        <v>8435</v>
      </c>
      <c r="Q292" s="38">
        <v>0</v>
      </c>
      <c r="R292" s="38">
        <v>0</v>
      </c>
      <c r="S292" s="38">
        <f t="shared" si="91"/>
        <v>0</v>
      </c>
      <c r="T292" s="38">
        <v>0</v>
      </c>
      <c r="U292" s="38">
        <v>0</v>
      </c>
      <c r="V292" s="38">
        <f t="shared" si="92"/>
        <v>0</v>
      </c>
      <c r="W292" s="38">
        <v>0</v>
      </c>
      <c r="X292" s="38">
        <v>0</v>
      </c>
      <c r="Y292" s="38">
        <f t="shared" si="93"/>
        <v>0</v>
      </c>
      <c r="Z292" s="38">
        <v>0</v>
      </c>
      <c r="AA292" s="38">
        <v>0</v>
      </c>
      <c r="AB292" s="38">
        <f t="shared" si="94"/>
        <v>0</v>
      </c>
      <c r="AC292" s="38">
        <v>0</v>
      </c>
      <c r="AD292" s="38">
        <v>0</v>
      </c>
      <c r="AE292" s="38">
        <f t="shared" si="95"/>
        <v>0</v>
      </c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</row>
    <row r="293" spans="1:255" ht="31.5" x14ac:dyDescent="0.25">
      <c r="A293" s="26" t="s">
        <v>97</v>
      </c>
      <c r="B293" s="34"/>
      <c r="C293" s="34"/>
      <c r="D293" s="34"/>
      <c r="E293" s="27">
        <f t="shared" si="87"/>
        <v>403214</v>
      </c>
      <c r="F293" s="27">
        <f t="shared" si="87"/>
        <v>613897</v>
      </c>
      <c r="G293" s="27">
        <f t="shared" si="87"/>
        <v>210683</v>
      </c>
      <c r="H293" s="27">
        <f>SUM(H303,H320,H316,H294,H323)</f>
        <v>0</v>
      </c>
      <c r="I293" s="27">
        <f>SUM(I303,I320,I316,I294,I323)</f>
        <v>190604</v>
      </c>
      <c r="J293" s="27">
        <f t="shared" si="88"/>
        <v>190604</v>
      </c>
      <c r="K293" s="27">
        <f>SUM(K303,K320,K316,K294,K323)</f>
        <v>0</v>
      </c>
      <c r="L293" s="27">
        <f>SUM(L303,L320,L316,L294,L323)</f>
        <v>0</v>
      </c>
      <c r="M293" s="27">
        <f t="shared" si="89"/>
        <v>0</v>
      </c>
      <c r="N293" s="27">
        <f>SUM(N303,N320,N316,N294,N323)</f>
        <v>133102</v>
      </c>
      <c r="O293" s="27">
        <f>SUM(O303,O320,O316,O294,O323)</f>
        <v>150840</v>
      </c>
      <c r="P293" s="27">
        <f t="shared" si="90"/>
        <v>17738</v>
      </c>
      <c r="Q293" s="27">
        <f>SUM(Q303,Q320,Q316,Q294,Q323)</f>
        <v>254745</v>
      </c>
      <c r="R293" s="27">
        <f>SUM(R303,R320,R316,R294,R323)</f>
        <v>254745</v>
      </c>
      <c r="S293" s="27">
        <f t="shared" si="91"/>
        <v>0</v>
      </c>
      <c r="T293" s="27">
        <f>SUM(T303,T320,T316,T294,T323)</f>
        <v>7720</v>
      </c>
      <c r="U293" s="27">
        <f>SUM(U303,U320,U316,U294,U323)</f>
        <v>10061</v>
      </c>
      <c r="V293" s="27">
        <f t="shared" si="92"/>
        <v>2341</v>
      </c>
      <c r="W293" s="27">
        <f>SUM(W303,W320,W316,W294,W323)</f>
        <v>7647</v>
      </c>
      <c r="X293" s="27">
        <f>SUM(X303,X320,X316,X294,X323)</f>
        <v>7647</v>
      </c>
      <c r="Y293" s="27">
        <f t="shared" si="93"/>
        <v>0</v>
      </c>
      <c r="Z293" s="27">
        <f>SUM(Z303,Z320,Z316,Z294,Z323)</f>
        <v>0</v>
      </c>
      <c r="AA293" s="27">
        <f>SUM(AA303,AA320,AA316,AA294,AA323)</f>
        <v>0</v>
      </c>
      <c r="AB293" s="27">
        <f t="shared" si="94"/>
        <v>0</v>
      </c>
      <c r="AC293" s="27">
        <f>SUM(AC303,AC320,AC316,AC294,AC323)</f>
        <v>0</v>
      </c>
      <c r="AD293" s="27">
        <f>SUM(AD303,AD320,AD316,AD294,AD323)</f>
        <v>0</v>
      </c>
      <c r="AE293" s="27">
        <f t="shared" si="95"/>
        <v>0</v>
      </c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25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</row>
    <row r="294" spans="1:255" x14ac:dyDescent="0.25">
      <c r="A294" s="26" t="s">
        <v>110</v>
      </c>
      <c r="B294" s="34"/>
      <c r="C294" s="34"/>
      <c r="D294" s="34"/>
      <c r="E294" s="27">
        <f t="shared" si="87"/>
        <v>31568</v>
      </c>
      <c r="F294" s="27">
        <f t="shared" si="87"/>
        <v>34495</v>
      </c>
      <c r="G294" s="27">
        <f t="shared" si="87"/>
        <v>2927</v>
      </c>
      <c r="H294" s="27">
        <f>SUM(H295:H302)</f>
        <v>0</v>
      </c>
      <c r="I294" s="27">
        <f>SUM(I295:I302)</f>
        <v>0</v>
      </c>
      <c r="J294" s="27">
        <f t="shared" si="88"/>
        <v>0</v>
      </c>
      <c r="K294" s="27">
        <f>SUM(K295:K302)</f>
        <v>0</v>
      </c>
      <c r="L294" s="27">
        <f>SUM(L295:L302)</f>
        <v>0</v>
      </c>
      <c r="M294" s="27">
        <f t="shared" si="89"/>
        <v>0</v>
      </c>
      <c r="N294" s="27">
        <f>SUM(N295:N302)</f>
        <v>26447</v>
      </c>
      <c r="O294" s="27">
        <f>SUM(O295:O302)</f>
        <v>27033</v>
      </c>
      <c r="P294" s="27">
        <f t="shared" si="90"/>
        <v>586</v>
      </c>
      <c r="Q294" s="27">
        <f>SUM(Q295:Q302)</f>
        <v>0</v>
      </c>
      <c r="R294" s="27">
        <f>SUM(R295:R302)</f>
        <v>0</v>
      </c>
      <c r="S294" s="27">
        <f t="shared" si="91"/>
        <v>0</v>
      </c>
      <c r="T294" s="27">
        <f>SUM(T295:T302)</f>
        <v>5121</v>
      </c>
      <c r="U294" s="27">
        <f>SUM(U295:U302)</f>
        <v>7462</v>
      </c>
      <c r="V294" s="27">
        <f t="shared" si="92"/>
        <v>2341</v>
      </c>
      <c r="W294" s="27">
        <f>SUM(W295:W302)</f>
        <v>0</v>
      </c>
      <c r="X294" s="27">
        <f>SUM(X295:X302)</f>
        <v>0</v>
      </c>
      <c r="Y294" s="27">
        <f t="shared" si="93"/>
        <v>0</v>
      </c>
      <c r="Z294" s="27">
        <f>SUM(Z295:Z302)</f>
        <v>0</v>
      </c>
      <c r="AA294" s="27">
        <f>SUM(AA295:AA302)</f>
        <v>0</v>
      </c>
      <c r="AB294" s="27">
        <f t="shared" si="94"/>
        <v>0</v>
      </c>
      <c r="AC294" s="27">
        <f>SUM(AC295:AC302)</f>
        <v>0</v>
      </c>
      <c r="AD294" s="27">
        <f>SUM(AD295:AD302)</f>
        <v>0</v>
      </c>
      <c r="AE294" s="27">
        <f t="shared" si="95"/>
        <v>0</v>
      </c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</row>
    <row r="295" spans="1:255" ht="30.75" customHeight="1" x14ac:dyDescent="0.25">
      <c r="A295" s="35" t="s">
        <v>272</v>
      </c>
      <c r="B295" s="36">
        <v>2</v>
      </c>
      <c r="C295" s="36">
        <v>759</v>
      </c>
      <c r="D295" s="36">
        <v>5201</v>
      </c>
      <c r="E295" s="38">
        <f t="shared" si="87"/>
        <v>3269</v>
      </c>
      <c r="F295" s="38">
        <f t="shared" si="87"/>
        <v>5655</v>
      </c>
      <c r="G295" s="38">
        <f t="shared" si="87"/>
        <v>2386</v>
      </c>
      <c r="H295" s="38">
        <v>0</v>
      </c>
      <c r="I295" s="38">
        <v>0</v>
      </c>
      <c r="J295" s="38">
        <f t="shared" si="88"/>
        <v>0</v>
      </c>
      <c r="K295" s="38">
        <v>0</v>
      </c>
      <c r="L295" s="38">
        <v>0</v>
      </c>
      <c r="M295" s="38">
        <f t="shared" si="89"/>
        <v>0</v>
      </c>
      <c r="N295" s="38">
        <f>1640+1629</f>
        <v>3269</v>
      </c>
      <c r="O295" s="38">
        <f>1640+1629+2386</f>
        <v>5655</v>
      </c>
      <c r="P295" s="38">
        <f t="shared" si="90"/>
        <v>2386</v>
      </c>
      <c r="Q295" s="38">
        <v>0</v>
      </c>
      <c r="R295" s="38">
        <v>0</v>
      </c>
      <c r="S295" s="38">
        <f t="shared" si="91"/>
        <v>0</v>
      </c>
      <c r="T295" s="38">
        <v>0</v>
      </c>
      <c r="U295" s="38">
        <v>0</v>
      </c>
      <c r="V295" s="38">
        <f t="shared" si="92"/>
        <v>0</v>
      </c>
      <c r="W295" s="38">
        <v>0</v>
      </c>
      <c r="X295" s="38">
        <v>0</v>
      </c>
      <c r="Y295" s="38">
        <f t="shared" si="93"/>
        <v>0</v>
      </c>
      <c r="Z295" s="38">
        <v>0</v>
      </c>
      <c r="AA295" s="38">
        <v>0</v>
      </c>
      <c r="AB295" s="38">
        <f t="shared" si="94"/>
        <v>0</v>
      </c>
      <c r="AC295" s="38">
        <v>0</v>
      </c>
      <c r="AD295" s="38">
        <v>0</v>
      </c>
      <c r="AE295" s="38">
        <f t="shared" si="95"/>
        <v>0</v>
      </c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</row>
    <row r="296" spans="1:255" ht="31.5" x14ac:dyDescent="0.25">
      <c r="A296" s="35" t="s">
        <v>273</v>
      </c>
      <c r="B296" s="36">
        <v>1</v>
      </c>
      <c r="C296" s="36">
        <v>739</v>
      </c>
      <c r="D296" s="36">
        <v>5201</v>
      </c>
      <c r="E296" s="38">
        <f t="shared" si="87"/>
        <v>4499</v>
      </c>
      <c r="F296" s="38">
        <f t="shared" si="87"/>
        <v>4499</v>
      </c>
      <c r="G296" s="38">
        <f t="shared" si="87"/>
        <v>0</v>
      </c>
      <c r="H296" s="38">
        <v>0</v>
      </c>
      <c r="I296" s="38">
        <v>0</v>
      </c>
      <c r="J296" s="38">
        <f t="shared" si="88"/>
        <v>0</v>
      </c>
      <c r="K296" s="38">
        <v>0</v>
      </c>
      <c r="L296" s="38">
        <v>0</v>
      </c>
      <c r="M296" s="38">
        <f t="shared" si="89"/>
        <v>0</v>
      </c>
      <c r="N296" s="38"/>
      <c r="O296" s="38"/>
      <c r="P296" s="38">
        <f t="shared" si="90"/>
        <v>0</v>
      </c>
      <c r="Q296" s="38">
        <v>0</v>
      </c>
      <c r="R296" s="38">
        <v>0</v>
      </c>
      <c r="S296" s="38">
        <f t="shared" si="91"/>
        <v>0</v>
      </c>
      <c r="T296" s="38">
        <f>1999+2500</f>
        <v>4499</v>
      </c>
      <c r="U296" s="38">
        <f>1999+2500</f>
        <v>4499</v>
      </c>
      <c r="V296" s="38">
        <f t="shared" si="92"/>
        <v>0</v>
      </c>
      <c r="W296" s="38">
        <v>0</v>
      </c>
      <c r="X296" s="38">
        <v>0</v>
      </c>
      <c r="Y296" s="38">
        <f t="shared" si="93"/>
        <v>0</v>
      </c>
      <c r="Z296" s="38">
        <v>0</v>
      </c>
      <c r="AA296" s="38">
        <v>0</v>
      </c>
      <c r="AB296" s="38">
        <f t="shared" si="94"/>
        <v>0</v>
      </c>
      <c r="AC296" s="38">
        <v>0</v>
      </c>
      <c r="AD296" s="38">
        <v>0</v>
      </c>
      <c r="AE296" s="38">
        <f t="shared" si="95"/>
        <v>0</v>
      </c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</row>
    <row r="297" spans="1:255" ht="30.75" customHeight="1" x14ac:dyDescent="0.25">
      <c r="A297" s="35" t="s">
        <v>274</v>
      </c>
      <c r="B297" s="36">
        <v>1</v>
      </c>
      <c r="C297" s="36">
        <v>751</v>
      </c>
      <c r="D297" s="36">
        <v>5201</v>
      </c>
      <c r="E297" s="38">
        <f t="shared" si="87"/>
        <v>5000</v>
      </c>
      <c r="F297" s="38">
        <f t="shared" si="87"/>
        <v>5000</v>
      </c>
      <c r="G297" s="38">
        <f t="shared" si="87"/>
        <v>0</v>
      </c>
      <c r="H297" s="38">
        <v>0</v>
      </c>
      <c r="I297" s="38">
        <v>0</v>
      </c>
      <c r="J297" s="38">
        <f t="shared" si="88"/>
        <v>0</v>
      </c>
      <c r="K297" s="38">
        <v>0</v>
      </c>
      <c r="L297" s="38">
        <v>0</v>
      </c>
      <c r="M297" s="38">
        <f t="shared" si="89"/>
        <v>0</v>
      </c>
      <c r="N297" s="38">
        <v>5000</v>
      </c>
      <c r="O297" s="38">
        <v>5000</v>
      </c>
      <c r="P297" s="38">
        <f t="shared" si="90"/>
        <v>0</v>
      </c>
      <c r="Q297" s="38">
        <v>0</v>
      </c>
      <c r="R297" s="38">
        <v>0</v>
      </c>
      <c r="S297" s="38">
        <f t="shared" si="91"/>
        <v>0</v>
      </c>
      <c r="T297" s="38">
        <v>0</v>
      </c>
      <c r="U297" s="38">
        <v>0</v>
      </c>
      <c r="V297" s="38">
        <f t="shared" si="92"/>
        <v>0</v>
      </c>
      <c r="W297" s="38">
        <v>0</v>
      </c>
      <c r="X297" s="38">
        <v>0</v>
      </c>
      <c r="Y297" s="38">
        <f t="shared" si="93"/>
        <v>0</v>
      </c>
      <c r="Z297" s="38">
        <v>0</v>
      </c>
      <c r="AA297" s="38">
        <v>0</v>
      </c>
      <c r="AB297" s="38">
        <f t="shared" si="94"/>
        <v>0</v>
      </c>
      <c r="AC297" s="38">
        <v>0</v>
      </c>
      <c r="AD297" s="38">
        <v>0</v>
      </c>
      <c r="AE297" s="38">
        <f t="shared" si="95"/>
        <v>0</v>
      </c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</row>
    <row r="298" spans="1:255" ht="30.75" customHeight="1" x14ac:dyDescent="0.25">
      <c r="A298" s="35" t="s">
        <v>275</v>
      </c>
      <c r="B298" s="36">
        <v>1</v>
      </c>
      <c r="C298" s="36">
        <v>739</v>
      </c>
      <c r="D298" s="36">
        <v>5201</v>
      </c>
      <c r="E298" s="38">
        <f t="shared" si="87"/>
        <v>622</v>
      </c>
      <c r="F298" s="38">
        <f t="shared" si="87"/>
        <v>2963</v>
      </c>
      <c r="G298" s="38">
        <f t="shared" si="87"/>
        <v>2341</v>
      </c>
      <c r="H298" s="38">
        <v>0</v>
      </c>
      <c r="I298" s="38">
        <v>0</v>
      </c>
      <c r="J298" s="38">
        <f t="shared" si="88"/>
        <v>0</v>
      </c>
      <c r="K298" s="38">
        <v>0</v>
      </c>
      <c r="L298" s="38">
        <v>0</v>
      </c>
      <c r="M298" s="38">
        <f t="shared" si="89"/>
        <v>0</v>
      </c>
      <c r="N298" s="38"/>
      <c r="O298" s="38"/>
      <c r="P298" s="38">
        <f t="shared" si="90"/>
        <v>0</v>
      </c>
      <c r="Q298" s="38">
        <v>0</v>
      </c>
      <c r="R298" s="38">
        <v>0</v>
      </c>
      <c r="S298" s="38">
        <f t="shared" si="91"/>
        <v>0</v>
      </c>
      <c r="T298" s="38">
        <v>622</v>
      </c>
      <c r="U298" s="38">
        <f>622+2341</f>
        <v>2963</v>
      </c>
      <c r="V298" s="38">
        <f t="shared" si="92"/>
        <v>2341</v>
      </c>
      <c r="W298" s="38">
        <v>0</v>
      </c>
      <c r="X298" s="38">
        <v>0</v>
      </c>
      <c r="Y298" s="38">
        <f t="shared" si="93"/>
        <v>0</v>
      </c>
      <c r="Z298" s="38">
        <v>0</v>
      </c>
      <c r="AA298" s="38">
        <v>0</v>
      </c>
      <c r="AB298" s="38">
        <f t="shared" si="94"/>
        <v>0</v>
      </c>
      <c r="AC298" s="38">
        <v>0</v>
      </c>
      <c r="AD298" s="38">
        <v>0</v>
      </c>
      <c r="AE298" s="38">
        <f t="shared" si="95"/>
        <v>0</v>
      </c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</row>
    <row r="299" spans="1:255" ht="30.75" customHeight="1" x14ac:dyDescent="0.25">
      <c r="A299" s="35" t="s">
        <v>276</v>
      </c>
      <c r="B299" s="36">
        <v>3</v>
      </c>
      <c r="C299" s="36">
        <v>739</v>
      </c>
      <c r="D299" s="36">
        <v>5201</v>
      </c>
      <c r="E299" s="38">
        <f t="shared" si="87"/>
        <v>7332</v>
      </c>
      <c r="F299" s="38">
        <f t="shared" si="87"/>
        <v>7332</v>
      </c>
      <c r="G299" s="38">
        <f t="shared" si="87"/>
        <v>0</v>
      </c>
      <c r="H299" s="38">
        <v>0</v>
      </c>
      <c r="I299" s="38">
        <v>0</v>
      </c>
      <c r="J299" s="38">
        <f t="shared" si="88"/>
        <v>0</v>
      </c>
      <c r="K299" s="38">
        <v>0</v>
      </c>
      <c r="L299" s="38">
        <v>0</v>
      </c>
      <c r="M299" s="38">
        <f t="shared" si="89"/>
        <v>0</v>
      </c>
      <c r="N299" s="38">
        <v>7332</v>
      </c>
      <c r="O299" s="38">
        <v>7332</v>
      </c>
      <c r="P299" s="38">
        <f t="shared" si="90"/>
        <v>0</v>
      </c>
      <c r="Q299" s="38">
        <v>0</v>
      </c>
      <c r="R299" s="38">
        <v>0</v>
      </c>
      <c r="S299" s="38">
        <f t="shared" si="91"/>
        <v>0</v>
      </c>
      <c r="T299" s="38">
        <v>0</v>
      </c>
      <c r="U299" s="38">
        <v>0</v>
      </c>
      <c r="V299" s="38">
        <f t="shared" si="92"/>
        <v>0</v>
      </c>
      <c r="W299" s="38">
        <v>0</v>
      </c>
      <c r="X299" s="38">
        <v>0</v>
      </c>
      <c r="Y299" s="38">
        <f t="shared" si="93"/>
        <v>0</v>
      </c>
      <c r="Z299" s="38">
        <v>0</v>
      </c>
      <c r="AA299" s="38">
        <v>0</v>
      </c>
      <c r="AB299" s="38">
        <f t="shared" si="94"/>
        <v>0</v>
      </c>
      <c r="AC299" s="38">
        <v>0</v>
      </c>
      <c r="AD299" s="38">
        <v>0</v>
      </c>
      <c r="AE299" s="38">
        <f t="shared" si="95"/>
        <v>0</v>
      </c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</row>
    <row r="300" spans="1:255" ht="30.75" customHeight="1" x14ac:dyDescent="0.25">
      <c r="A300" s="35" t="s">
        <v>277</v>
      </c>
      <c r="B300" s="36">
        <v>2</v>
      </c>
      <c r="C300" s="36">
        <v>741</v>
      </c>
      <c r="D300" s="36">
        <v>5201</v>
      </c>
      <c r="E300" s="38">
        <f t="shared" si="87"/>
        <v>2999</v>
      </c>
      <c r="F300" s="38">
        <f t="shared" si="87"/>
        <v>2999</v>
      </c>
      <c r="G300" s="38">
        <f t="shared" si="87"/>
        <v>0</v>
      </c>
      <c r="H300" s="38">
        <v>0</v>
      </c>
      <c r="I300" s="38">
        <v>0</v>
      </c>
      <c r="J300" s="38">
        <f t="shared" si="88"/>
        <v>0</v>
      </c>
      <c r="K300" s="38">
        <v>0</v>
      </c>
      <c r="L300" s="38">
        <v>0</v>
      </c>
      <c r="M300" s="38">
        <f t="shared" si="89"/>
        <v>0</v>
      </c>
      <c r="N300" s="38">
        <v>2999</v>
      </c>
      <c r="O300" s="38">
        <v>2999</v>
      </c>
      <c r="P300" s="38">
        <f t="shared" si="90"/>
        <v>0</v>
      </c>
      <c r="Q300" s="38">
        <v>0</v>
      </c>
      <c r="R300" s="38">
        <v>0</v>
      </c>
      <c r="S300" s="38">
        <f t="shared" si="91"/>
        <v>0</v>
      </c>
      <c r="T300" s="38">
        <v>0</v>
      </c>
      <c r="U300" s="38">
        <v>0</v>
      </c>
      <c r="V300" s="38">
        <f t="shared" si="92"/>
        <v>0</v>
      </c>
      <c r="W300" s="38">
        <v>0</v>
      </c>
      <c r="X300" s="38">
        <v>0</v>
      </c>
      <c r="Y300" s="38">
        <f t="shared" si="93"/>
        <v>0</v>
      </c>
      <c r="Z300" s="38">
        <v>0</v>
      </c>
      <c r="AA300" s="38">
        <v>0</v>
      </c>
      <c r="AB300" s="38">
        <f t="shared" si="94"/>
        <v>0</v>
      </c>
      <c r="AC300" s="38">
        <v>0</v>
      </c>
      <c r="AD300" s="38">
        <v>0</v>
      </c>
      <c r="AE300" s="38">
        <f t="shared" si="95"/>
        <v>0</v>
      </c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</row>
    <row r="301" spans="1:255" ht="47.25" x14ac:dyDescent="0.25">
      <c r="A301" s="35" t="s">
        <v>278</v>
      </c>
      <c r="B301" s="36">
        <v>3</v>
      </c>
      <c r="C301" s="36">
        <v>739</v>
      </c>
      <c r="D301" s="36">
        <v>5201</v>
      </c>
      <c r="E301" s="38">
        <f t="shared" si="87"/>
        <v>3544</v>
      </c>
      <c r="F301" s="38">
        <f t="shared" si="87"/>
        <v>3544</v>
      </c>
      <c r="G301" s="38">
        <f t="shared" si="87"/>
        <v>0</v>
      </c>
      <c r="H301" s="38">
        <v>0</v>
      </c>
      <c r="I301" s="38">
        <v>0</v>
      </c>
      <c r="J301" s="38">
        <f t="shared" si="88"/>
        <v>0</v>
      </c>
      <c r="K301" s="38">
        <v>0</v>
      </c>
      <c r="L301" s="38">
        <v>0</v>
      </c>
      <c r="M301" s="38">
        <f t="shared" si="89"/>
        <v>0</v>
      </c>
      <c r="N301" s="38">
        <v>3544</v>
      </c>
      <c r="O301" s="38">
        <v>3544</v>
      </c>
      <c r="P301" s="38">
        <f t="shared" si="90"/>
        <v>0</v>
      </c>
      <c r="Q301" s="38">
        <v>0</v>
      </c>
      <c r="R301" s="38">
        <v>0</v>
      </c>
      <c r="S301" s="38">
        <f t="shared" si="91"/>
        <v>0</v>
      </c>
      <c r="T301" s="38">
        <v>0</v>
      </c>
      <c r="U301" s="38">
        <v>0</v>
      </c>
      <c r="V301" s="38">
        <f t="shared" si="92"/>
        <v>0</v>
      </c>
      <c r="W301" s="38">
        <v>0</v>
      </c>
      <c r="X301" s="38">
        <v>0</v>
      </c>
      <c r="Y301" s="38">
        <f t="shared" si="93"/>
        <v>0</v>
      </c>
      <c r="Z301" s="38">
        <v>0</v>
      </c>
      <c r="AA301" s="38">
        <v>0</v>
      </c>
      <c r="AB301" s="38">
        <f t="shared" si="94"/>
        <v>0</v>
      </c>
      <c r="AC301" s="38">
        <v>0</v>
      </c>
      <c r="AD301" s="38">
        <v>0</v>
      </c>
      <c r="AE301" s="38">
        <f t="shared" si="95"/>
        <v>0</v>
      </c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</row>
    <row r="302" spans="1:255" ht="30.75" customHeight="1" x14ac:dyDescent="0.25">
      <c r="A302" s="35" t="s">
        <v>279</v>
      </c>
      <c r="B302" s="36">
        <v>2</v>
      </c>
      <c r="C302" s="36">
        <v>759</v>
      </c>
      <c r="D302" s="36">
        <v>5201</v>
      </c>
      <c r="E302" s="38">
        <f t="shared" si="87"/>
        <v>4303</v>
      </c>
      <c r="F302" s="38">
        <f t="shared" si="87"/>
        <v>2503</v>
      </c>
      <c r="G302" s="38">
        <f t="shared" si="87"/>
        <v>-1800</v>
      </c>
      <c r="H302" s="38">
        <v>0</v>
      </c>
      <c r="I302" s="38">
        <v>0</v>
      </c>
      <c r="J302" s="38">
        <f t="shared" si="88"/>
        <v>0</v>
      </c>
      <c r="K302" s="38">
        <v>0</v>
      </c>
      <c r="L302" s="38">
        <v>0</v>
      </c>
      <c r="M302" s="38">
        <f t="shared" si="89"/>
        <v>0</v>
      </c>
      <c r="N302" s="38">
        <f>3900+403</f>
        <v>4303</v>
      </c>
      <c r="O302" s="38">
        <f>3900+403-1800</f>
        <v>2503</v>
      </c>
      <c r="P302" s="38">
        <f t="shared" si="90"/>
        <v>-1800</v>
      </c>
      <c r="Q302" s="38">
        <v>0</v>
      </c>
      <c r="R302" s="38">
        <v>0</v>
      </c>
      <c r="S302" s="38">
        <f t="shared" si="91"/>
        <v>0</v>
      </c>
      <c r="T302" s="38">
        <v>0</v>
      </c>
      <c r="U302" s="38">
        <v>0</v>
      </c>
      <c r="V302" s="38">
        <f t="shared" si="92"/>
        <v>0</v>
      </c>
      <c r="W302" s="38">
        <v>0</v>
      </c>
      <c r="X302" s="38">
        <v>0</v>
      </c>
      <c r="Y302" s="38">
        <f t="shared" si="93"/>
        <v>0</v>
      </c>
      <c r="Z302" s="38">
        <v>0</v>
      </c>
      <c r="AA302" s="38">
        <v>0</v>
      </c>
      <c r="AB302" s="38">
        <f t="shared" si="94"/>
        <v>0</v>
      </c>
      <c r="AC302" s="38">
        <v>0</v>
      </c>
      <c r="AD302" s="38">
        <v>0</v>
      </c>
      <c r="AE302" s="38">
        <f t="shared" si="95"/>
        <v>0</v>
      </c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</row>
    <row r="303" spans="1:255" ht="31.5" x14ac:dyDescent="0.25">
      <c r="A303" s="26" t="s">
        <v>118</v>
      </c>
      <c r="B303" s="34"/>
      <c r="C303" s="34"/>
      <c r="D303" s="34"/>
      <c r="E303" s="27">
        <f t="shared" si="87"/>
        <v>71586</v>
      </c>
      <c r="F303" s="27">
        <f t="shared" si="87"/>
        <v>86266</v>
      </c>
      <c r="G303" s="27">
        <f t="shared" si="87"/>
        <v>14680</v>
      </c>
      <c r="H303" s="27">
        <f>SUM(H304:H315)</f>
        <v>0</v>
      </c>
      <c r="I303" s="27">
        <f>SUM(I304:I315)</f>
        <v>0</v>
      </c>
      <c r="J303" s="27">
        <f t="shared" si="88"/>
        <v>0</v>
      </c>
      <c r="K303" s="27">
        <f>SUM(K304:K315)</f>
        <v>0</v>
      </c>
      <c r="L303" s="27">
        <f>SUM(L304:L315)</f>
        <v>0</v>
      </c>
      <c r="M303" s="27">
        <f t="shared" si="89"/>
        <v>0</v>
      </c>
      <c r="N303" s="27">
        <f>SUM(N304:N315)</f>
        <v>71586</v>
      </c>
      <c r="O303" s="27">
        <f>SUM(O304:O315)</f>
        <v>86266</v>
      </c>
      <c r="P303" s="27">
        <f t="shared" si="90"/>
        <v>14680</v>
      </c>
      <c r="Q303" s="27">
        <f>SUM(Q304:Q315)</f>
        <v>0</v>
      </c>
      <c r="R303" s="27">
        <f>SUM(R304:R315)</f>
        <v>0</v>
      </c>
      <c r="S303" s="27">
        <f t="shared" si="91"/>
        <v>0</v>
      </c>
      <c r="T303" s="27">
        <f>SUM(T304:T315)</f>
        <v>0</v>
      </c>
      <c r="U303" s="27">
        <f>SUM(U304:U315)</f>
        <v>0</v>
      </c>
      <c r="V303" s="27">
        <f t="shared" si="92"/>
        <v>0</v>
      </c>
      <c r="W303" s="27">
        <f>SUM(W304:W315)</f>
        <v>0</v>
      </c>
      <c r="X303" s="27">
        <f>SUM(X304:X315)</f>
        <v>0</v>
      </c>
      <c r="Y303" s="27">
        <f t="shared" si="93"/>
        <v>0</v>
      </c>
      <c r="Z303" s="27">
        <f>SUM(Z304:Z315)</f>
        <v>0</v>
      </c>
      <c r="AA303" s="27">
        <f>SUM(AA304:AA315)</f>
        <v>0</v>
      </c>
      <c r="AB303" s="27">
        <f t="shared" si="94"/>
        <v>0</v>
      </c>
      <c r="AC303" s="27">
        <f>SUM(AC304:AC315)</f>
        <v>0</v>
      </c>
      <c r="AD303" s="27">
        <f>SUM(AD304:AD315)</f>
        <v>0</v>
      </c>
      <c r="AE303" s="27">
        <f t="shared" si="95"/>
        <v>0</v>
      </c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5"/>
      <c r="GA303" s="25"/>
      <c r="GB303" s="25"/>
      <c r="GC303" s="25"/>
      <c r="GD303" s="25"/>
      <c r="GE303" s="25"/>
      <c r="GF303" s="25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</row>
    <row r="304" spans="1:255" ht="30.75" customHeight="1" x14ac:dyDescent="0.25">
      <c r="A304" s="35" t="s">
        <v>280</v>
      </c>
      <c r="B304" s="36">
        <v>1</v>
      </c>
      <c r="C304" s="36">
        <v>751</v>
      </c>
      <c r="D304" s="36">
        <v>5203</v>
      </c>
      <c r="E304" s="38">
        <f t="shared" si="87"/>
        <v>1700</v>
      </c>
      <c r="F304" s="38">
        <f t="shared" si="87"/>
        <v>1700</v>
      </c>
      <c r="G304" s="38">
        <f t="shared" si="87"/>
        <v>0</v>
      </c>
      <c r="H304" s="38">
        <v>0</v>
      </c>
      <c r="I304" s="38">
        <v>0</v>
      </c>
      <c r="J304" s="38">
        <f t="shared" si="88"/>
        <v>0</v>
      </c>
      <c r="K304" s="38">
        <v>0</v>
      </c>
      <c r="L304" s="38">
        <v>0</v>
      </c>
      <c r="M304" s="38">
        <f t="shared" si="89"/>
        <v>0</v>
      </c>
      <c r="N304" s="38">
        <v>1700</v>
      </c>
      <c r="O304" s="38">
        <v>1700</v>
      </c>
      <c r="P304" s="38">
        <f t="shared" si="90"/>
        <v>0</v>
      </c>
      <c r="Q304" s="38">
        <v>0</v>
      </c>
      <c r="R304" s="38">
        <v>0</v>
      </c>
      <c r="S304" s="38">
        <f t="shared" si="91"/>
        <v>0</v>
      </c>
      <c r="T304" s="38">
        <v>0</v>
      </c>
      <c r="U304" s="38">
        <v>0</v>
      </c>
      <c r="V304" s="38">
        <f t="shared" si="92"/>
        <v>0</v>
      </c>
      <c r="W304" s="38">
        <v>0</v>
      </c>
      <c r="X304" s="38">
        <v>0</v>
      </c>
      <c r="Y304" s="38">
        <f t="shared" si="93"/>
        <v>0</v>
      </c>
      <c r="Z304" s="38">
        <v>0</v>
      </c>
      <c r="AA304" s="38">
        <v>0</v>
      </c>
      <c r="AB304" s="38">
        <f t="shared" si="94"/>
        <v>0</v>
      </c>
      <c r="AC304" s="38">
        <v>0</v>
      </c>
      <c r="AD304" s="38">
        <v>0</v>
      </c>
      <c r="AE304" s="38">
        <f t="shared" si="95"/>
        <v>0</v>
      </c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</row>
    <row r="305" spans="1:255" ht="30.75" customHeight="1" x14ac:dyDescent="0.25">
      <c r="A305" s="35" t="s">
        <v>281</v>
      </c>
      <c r="B305" s="36" t="s">
        <v>46</v>
      </c>
      <c r="C305" s="36">
        <v>751</v>
      </c>
      <c r="D305" s="36">
        <v>5203</v>
      </c>
      <c r="E305" s="38">
        <f t="shared" si="87"/>
        <v>6000</v>
      </c>
      <c r="F305" s="38">
        <f t="shared" si="87"/>
        <v>11000</v>
      </c>
      <c r="G305" s="38">
        <f t="shared" si="87"/>
        <v>5000</v>
      </c>
      <c r="H305" s="38">
        <v>0</v>
      </c>
      <c r="I305" s="38">
        <v>0</v>
      </c>
      <c r="J305" s="38">
        <f t="shared" si="88"/>
        <v>0</v>
      </c>
      <c r="K305" s="38">
        <v>0</v>
      </c>
      <c r="L305" s="38">
        <v>0</v>
      </c>
      <c r="M305" s="38">
        <f t="shared" si="89"/>
        <v>0</v>
      </c>
      <c r="N305" s="38">
        <v>6000</v>
      </c>
      <c r="O305" s="38">
        <f>6000+5000</f>
        <v>11000</v>
      </c>
      <c r="P305" s="38">
        <f t="shared" si="90"/>
        <v>5000</v>
      </c>
      <c r="Q305" s="38">
        <v>0</v>
      </c>
      <c r="R305" s="38">
        <v>0</v>
      </c>
      <c r="S305" s="38">
        <f t="shared" si="91"/>
        <v>0</v>
      </c>
      <c r="T305" s="38">
        <v>0</v>
      </c>
      <c r="U305" s="38">
        <v>0</v>
      </c>
      <c r="V305" s="38">
        <f t="shared" si="92"/>
        <v>0</v>
      </c>
      <c r="W305" s="38">
        <v>0</v>
      </c>
      <c r="X305" s="38">
        <v>0</v>
      </c>
      <c r="Y305" s="38">
        <f t="shared" si="93"/>
        <v>0</v>
      </c>
      <c r="Z305" s="38">
        <v>0</v>
      </c>
      <c r="AA305" s="38">
        <v>0</v>
      </c>
      <c r="AB305" s="38">
        <f t="shared" si="94"/>
        <v>0</v>
      </c>
      <c r="AC305" s="38">
        <v>0</v>
      </c>
      <c r="AD305" s="38">
        <v>0</v>
      </c>
      <c r="AE305" s="38">
        <f t="shared" si="95"/>
        <v>0</v>
      </c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</row>
    <row r="306" spans="1:255" x14ac:dyDescent="0.25">
      <c r="A306" s="35" t="s">
        <v>282</v>
      </c>
      <c r="B306" s="36">
        <v>3</v>
      </c>
      <c r="C306" s="36">
        <v>751</v>
      </c>
      <c r="D306" s="36">
        <v>5203</v>
      </c>
      <c r="E306" s="38">
        <f t="shared" si="87"/>
        <v>0</v>
      </c>
      <c r="F306" s="38">
        <f t="shared" si="87"/>
        <v>1860</v>
      </c>
      <c r="G306" s="38">
        <f t="shared" si="87"/>
        <v>1860</v>
      </c>
      <c r="H306" s="38">
        <v>0</v>
      </c>
      <c r="I306" s="38">
        <v>0</v>
      </c>
      <c r="J306" s="38">
        <f t="shared" si="88"/>
        <v>0</v>
      </c>
      <c r="K306" s="38">
        <v>0</v>
      </c>
      <c r="L306" s="38">
        <v>0</v>
      </c>
      <c r="M306" s="38">
        <f t="shared" si="89"/>
        <v>0</v>
      </c>
      <c r="N306" s="38"/>
      <c r="O306" s="38">
        <v>1860</v>
      </c>
      <c r="P306" s="38">
        <f t="shared" si="90"/>
        <v>1860</v>
      </c>
      <c r="Q306" s="38">
        <v>0</v>
      </c>
      <c r="R306" s="38">
        <v>0</v>
      </c>
      <c r="S306" s="38">
        <f t="shared" si="91"/>
        <v>0</v>
      </c>
      <c r="T306" s="38">
        <v>0</v>
      </c>
      <c r="U306" s="38">
        <v>0</v>
      </c>
      <c r="V306" s="38">
        <f t="shared" si="92"/>
        <v>0</v>
      </c>
      <c r="W306" s="38">
        <v>0</v>
      </c>
      <c r="X306" s="38">
        <v>0</v>
      </c>
      <c r="Y306" s="38">
        <f t="shared" si="93"/>
        <v>0</v>
      </c>
      <c r="Z306" s="38">
        <v>0</v>
      </c>
      <c r="AA306" s="38">
        <v>0</v>
      </c>
      <c r="AB306" s="38">
        <f t="shared" si="94"/>
        <v>0</v>
      </c>
      <c r="AC306" s="38">
        <v>0</v>
      </c>
      <c r="AD306" s="38">
        <v>0</v>
      </c>
      <c r="AE306" s="38">
        <f t="shared" si="95"/>
        <v>0</v>
      </c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</row>
    <row r="307" spans="1:255" ht="30.75" customHeight="1" x14ac:dyDescent="0.25">
      <c r="A307" s="35" t="s">
        <v>283</v>
      </c>
      <c r="B307" s="36">
        <v>3</v>
      </c>
      <c r="C307" s="36">
        <v>751</v>
      </c>
      <c r="D307" s="36">
        <v>5203</v>
      </c>
      <c r="E307" s="38">
        <f t="shared" si="87"/>
        <v>5740</v>
      </c>
      <c r="F307" s="38">
        <f t="shared" si="87"/>
        <v>5740</v>
      </c>
      <c r="G307" s="38">
        <f t="shared" si="87"/>
        <v>0</v>
      </c>
      <c r="H307" s="38">
        <v>0</v>
      </c>
      <c r="I307" s="38">
        <v>0</v>
      </c>
      <c r="J307" s="38">
        <f t="shared" si="88"/>
        <v>0</v>
      </c>
      <c r="K307" s="38">
        <v>0</v>
      </c>
      <c r="L307" s="38">
        <v>0</v>
      </c>
      <c r="M307" s="38">
        <f t="shared" si="89"/>
        <v>0</v>
      </c>
      <c r="N307" s="38">
        <v>5740</v>
      </c>
      <c r="O307" s="38">
        <v>5740</v>
      </c>
      <c r="P307" s="38">
        <f t="shared" si="90"/>
        <v>0</v>
      </c>
      <c r="Q307" s="38">
        <v>0</v>
      </c>
      <c r="R307" s="38">
        <v>0</v>
      </c>
      <c r="S307" s="38">
        <f t="shared" si="91"/>
        <v>0</v>
      </c>
      <c r="T307" s="38">
        <v>0</v>
      </c>
      <c r="U307" s="38">
        <v>0</v>
      </c>
      <c r="V307" s="38">
        <f t="shared" si="92"/>
        <v>0</v>
      </c>
      <c r="W307" s="38">
        <v>0</v>
      </c>
      <c r="X307" s="38">
        <v>0</v>
      </c>
      <c r="Y307" s="38">
        <f t="shared" si="93"/>
        <v>0</v>
      </c>
      <c r="Z307" s="38">
        <v>0</v>
      </c>
      <c r="AA307" s="38">
        <v>0</v>
      </c>
      <c r="AB307" s="38">
        <f t="shared" si="94"/>
        <v>0</v>
      </c>
      <c r="AC307" s="38">
        <v>0</v>
      </c>
      <c r="AD307" s="38">
        <v>0</v>
      </c>
      <c r="AE307" s="38">
        <f t="shared" si="95"/>
        <v>0</v>
      </c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</row>
    <row r="308" spans="1:255" ht="30.75" customHeight="1" x14ac:dyDescent="0.25">
      <c r="A308" s="35" t="s">
        <v>284</v>
      </c>
      <c r="B308" s="48" t="s">
        <v>46</v>
      </c>
      <c r="C308" s="36">
        <v>751</v>
      </c>
      <c r="D308" s="36">
        <v>5203</v>
      </c>
      <c r="E308" s="38">
        <f t="shared" si="87"/>
        <v>7560</v>
      </c>
      <c r="F308" s="38">
        <f t="shared" si="87"/>
        <v>7560</v>
      </c>
      <c r="G308" s="38">
        <f t="shared" si="87"/>
        <v>0</v>
      </c>
      <c r="H308" s="38">
        <v>0</v>
      </c>
      <c r="I308" s="38">
        <v>0</v>
      </c>
      <c r="J308" s="38">
        <f t="shared" si="88"/>
        <v>0</v>
      </c>
      <c r="K308" s="38">
        <v>0</v>
      </c>
      <c r="L308" s="38">
        <v>0</v>
      </c>
      <c r="M308" s="38">
        <f t="shared" si="89"/>
        <v>0</v>
      </c>
      <c r="N308" s="38">
        <f>2560+5000</f>
        <v>7560</v>
      </c>
      <c r="O308" s="38">
        <f>2560+5000</f>
        <v>7560</v>
      </c>
      <c r="P308" s="38">
        <f t="shared" si="90"/>
        <v>0</v>
      </c>
      <c r="Q308" s="38">
        <v>0</v>
      </c>
      <c r="R308" s="38">
        <v>0</v>
      </c>
      <c r="S308" s="38">
        <f t="shared" si="91"/>
        <v>0</v>
      </c>
      <c r="T308" s="38">
        <v>0</v>
      </c>
      <c r="U308" s="38">
        <v>0</v>
      </c>
      <c r="V308" s="38">
        <f t="shared" si="92"/>
        <v>0</v>
      </c>
      <c r="W308" s="38">
        <v>0</v>
      </c>
      <c r="X308" s="38">
        <v>0</v>
      </c>
      <c r="Y308" s="38">
        <f t="shared" si="93"/>
        <v>0</v>
      </c>
      <c r="Z308" s="38">
        <v>0</v>
      </c>
      <c r="AA308" s="38">
        <v>0</v>
      </c>
      <c r="AB308" s="38">
        <f t="shared" si="94"/>
        <v>0</v>
      </c>
      <c r="AC308" s="38">
        <v>0</v>
      </c>
      <c r="AD308" s="38">
        <v>0</v>
      </c>
      <c r="AE308" s="38">
        <f t="shared" si="95"/>
        <v>0</v>
      </c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</row>
    <row r="309" spans="1:255" ht="30.75" customHeight="1" x14ac:dyDescent="0.25">
      <c r="A309" s="35" t="s">
        <v>285</v>
      </c>
      <c r="B309" s="36">
        <v>1</v>
      </c>
      <c r="C309" s="36">
        <v>739</v>
      </c>
      <c r="D309" s="36">
        <v>5203</v>
      </c>
      <c r="E309" s="38">
        <f t="shared" si="87"/>
        <v>12505</v>
      </c>
      <c r="F309" s="38">
        <f t="shared" si="87"/>
        <v>12505</v>
      </c>
      <c r="G309" s="38">
        <f t="shared" si="87"/>
        <v>0</v>
      </c>
      <c r="H309" s="38">
        <v>0</v>
      </c>
      <c r="I309" s="38">
        <v>0</v>
      </c>
      <c r="J309" s="38">
        <f t="shared" si="88"/>
        <v>0</v>
      </c>
      <c r="K309" s="38">
        <v>0</v>
      </c>
      <c r="L309" s="38">
        <v>0</v>
      </c>
      <c r="M309" s="38">
        <f t="shared" si="89"/>
        <v>0</v>
      </c>
      <c r="N309" s="38">
        <v>12505</v>
      </c>
      <c r="O309" s="38">
        <v>12505</v>
      </c>
      <c r="P309" s="38">
        <f t="shared" si="90"/>
        <v>0</v>
      </c>
      <c r="Q309" s="38">
        <v>0</v>
      </c>
      <c r="R309" s="38">
        <v>0</v>
      </c>
      <c r="S309" s="38">
        <f t="shared" si="91"/>
        <v>0</v>
      </c>
      <c r="T309" s="38">
        <v>0</v>
      </c>
      <c r="U309" s="38">
        <v>0</v>
      </c>
      <c r="V309" s="38">
        <f t="shared" si="92"/>
        <v>0</v>
      </c>
      <c r="W309" s="38">
        <v>0</v>
      </c>
      <c r="X309" s="38">
        <v>0</v>
      </c>
      <c r="Y309" s="38">
        <f t="shared" si="93"/>
        <v>0</v>
      </c>
      <c r="Z309" s="38">
        <v>0</v>
      </c>
      <c r="AA309" s="38">
        <v>0</v>
      </c>
      <c r="AB309" s="38">
        <f t="shared" si="94"/>
        <v>0</v>
      </c>
      <c r="AC309" s="38">
        <v>0</v>
      </c>
      <c r="AD309" s="38">
        <v>0</v>
      </c>
      <c r="AE309" s="38">
        <f t="shared" si="95"/>
        <v>0</v>
      </c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</row>
    <row r="310" spans="1:255" ht="30.75" customHeight="1" x14ac:dyDescent="0.25">
      <c r="A310" s="35" t="s">
        <v>286</v>
      </c>
      <c r="B310" s="36">
        <v>3</v>
      </c>
      <c r="C310" s="36">
        <v>739</v>
      </c>
      <c r="D310" s="36">
        <v>5203</v>
      </c>
      <c r="E310" s="38">
        <f t="shared" si="87"/>
        <v>7380</v>
      </c>
      <c r="F310" s="38">
        <f t="shared" si="87"/>
        <v>7380</v>
      </c>
      <c r="G310" s="38">
        <f t="shared" si="87"/>
        <v>0</v>
      </c>
      <c r="H310" s="38">
        <v>0</v>
      </c>
      <c r="I310" s="38">
        <v>0</v>
      </c>
      <c r="J310" s="38">
        <f t="shared" si="88"/>
        <v>0</v>
      </c>
      <c r="K310" s="38">
        <v>0</v>
      </c>
      <c r="L310" s="38">
        <v>0</v>
      </c>
      <c r="M310" s="38">
        <f t="shared" si="89"/>
        <v>0</v>
      </c>
      <c r="N310" s="38">
        <v>7380</v>
      </c>
      <c r="O310" s="38">
        <v>7380</v>
      </c>
      <c r="P310" s="38">
        <f t="shared" si="90"/>
        <v>0</v>
      </c>
      <c r="Q310" s="38">
        <v>0</v>
      </c>
      <c r="R310" s="38">
        <v>0</v>
      </c>
      <c r="S310" s="38">
        <f t="shared" si="91"/>
        <v>0</v>
      </c>
      <c r="T310" s="38">
        <v>0</v>
      </c>
      <c r="U310" s="38">
        <v>0</v>
      </c>
      <c r="V310" s="38">
        <f t="shared" si="92"/>
        <v>0</v>
      </c>
      <c r="W310" s="38">
        <v>0</v>
      </c>
      <c r="X310" s="38">
        <v>0</v>
      </c>
      <c r="Y310" s="38">
        <f t="shared" si="93"/>
        <v>0</v>
      </c>
      <c r="Z310" s="38">
        <v>0</v>
      </c>
      <c r="AA310" s="38">
        <v>0</v>
      </c>
      <c r="AB310" s="38">
        <f t="shared" si="94"/>
        <v>0</v>
      </c>
      <c r="AC310" s="38">
        <v>0</v>
      </c>
      <c r="AD310" s="38">
        <v>0</v>
      </c>
      <c r="AE310" s="38">
        <f t="shared" si="95"/>
        <v>0</v>
      </c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</row>
    <row r="311" spans="1:255" ht="30.75" customHeight="1" x14ac:dyDescent="0.25">
      <c r="A311" s="35" t="s">
        <v>287</v>
      </c>
      <c r="B311" s="36">
        <v>2</v>
      </c>
      <c r="C311" s="36">
        <v>741</v>
      </c>
      <c r="D311" s="36">
        <v>5203</v>
      </c>
      <c r="E311" s="38">
        <f t="shared" si="87"/>
        <v>1988</v>
      </c>
      <c r="F311" s="38">
        <f t="shared" si="87"/>
        <v>2195</v>
      </c>
      <c r="G311" s="38">
        <f t="shared" si="87"/>
        <v>207</v>
      </c>
      <c r="H311" s="38">
        <v>0</v>
      </c>
      <c r="I311" s="38">
        <v>0</v>
      </c>
      <c r="J311" s="38">
        <f t="shared" si="88"/>
        <v>0</v>
      </c>
      <c r="K311" s="38">
        <v>0</v>
      </c>
      <c r="L311" s="38">
        <v>0</v>
      </c>
      <c r="M311" s="38">
        <f t="shared" si="89"/>
        <v>0</v>
      </c>
      <c r="N311" s="38">
        <v>1988</v>
      </c>
      <c r="O311" s="38">
        <f>1988+207</f>
        <v>2195</v>
      </c>
      <c r="P311" s="38">
        <f t="shared" si="90"/>
        <v>207</v>
      </c>
      <c r="Q311" s="38">
        <v>0</v>
      </c>
      <c r="R311" s="38">
        <v>0</v>
      </c>
      <c r="S311" s="38">
        <f t="shared" si="91"/>
        <v>0</v>
      </c>
      <c r="T311" s="38">
        <v>0</v>
      </c>
      <c r="U311" s="38">
        <v>0</v>
      </c>
      <c r="V311" s="38">
        <f t="shared" si="92"/>
        <v>0</v>
      </c>
      <c r="W311" s="38">
        <v>0</v>
      </c>
      <c r="X311" s="38">
        <v>0</v>
      </c>
      <c r="Y311" s="38">
        <f t="shared" si="93"/>
        <v>0</v>
      </c>
      <c r="Z311" s="38">
        <v>0</v>
      </c>
      <c r="AA311" s="38">
        <v>0</v>
      </c>
      <c r="AB311" s="38">
        <f t="shared" si="94"/>
        <v>0</v>
      </c>
      <c r="AC311" s="38">
        <v>0</v>
      </c>
      <c r="AD311" s="38">
        <v>0</v>
      </c>
      <c r="AE311" s="38">
        <f t="shared" si="95"/>
        <v>0</v>
      </c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</row>
    <row r="312" spans="1:255" ht="47.25" x14ac:dyDescent="0.25">
      <c r="A312" s="35" t="s">
        <v>288</v>
      </c>
      <c r="B312" s="36">
        <v>2</v>
      </c>
      <c r="C312" s="36">
        <v>759</v>
      </c>
      <c r="D312" s="36">
        <v>5203</v>
      </c>
      <c r="E312" s="38">
        <f t="shared" si="87"/>
        <v>11016</v>
      </c>
      <c r="F312" s="38">
        <f t="shared" si="87"/>
        <v>11016</v>
      </c>
      <c r="G312" s="38">
        <f t="shared" si="87"/>
        <v>0</v>
      </c>
      <c r="H312" s="38">
        <v>0</v>
      </c>
      <c r="I312" s="38">
        <v>0</v>
      </c>
      <c r="J312" s="38">
        <f t="shared" si="88"/>
        <v>0</v>
      </c>
      <c r="K312" s="38">
        <v>0</v>
      </c>
      <c r="L312" s="38">
        <v>0</v>
      </c>
      <c r="M312" s="38">
        <f t="shared" si="89"/>
        <v>0</v>
      </c>
      <c r="N312" s="38">
        <f>10632+384</f>
        <v>11016</v>
      </c>
      <c r="O312" s="38">
        <f>10632+384</f>
        <v>11016</v>
      </c>
      <c r="P312" s="38">
        <f t="shared" si="90"/>
        <v>0</v>
      </c>
      <c r="Q312" s="38">
        <v>0</v>
      </c>
      <c r="R312" s="38">
        <v>0</v>
      </c>
      <c r="S312" s="38">
        <f t="shared" si="91"/>
        <v>0</v>
      </c>
      <c r="T312" s="38">
        <v>0</v>
      </c>
      <c r="U312" s="38">
        <v>0</v>
      </c>
      <c r="V312" s="38">
        <f t="shared" si="92"/>
        <v>0</v>
      </c>
      <c r="W312" s="38">
        <v>0</v>
      </c>
      <c r="X312" s="38">
        <v>0</v>
      </c>
      <c r="Y312" s="38">
        <f t="shared" si="93"/>
        <v>0</v>
      </c>
      <c r="Z312" s="38">
        <v>0</v>
      </c>
      <c r="AA312" s="38">
        <v>0</v>
      </c>
      <c r="AB312" s="38">
        <f t="shared" si="94"/>
        <v>0</v>
      </c>
      <c r="AC312" s="38">
        <v>0</v>
      </c>
      <c r="AD312" s="38">
        <v>0</v>
      </c>
      <c r="AE312" s="38">
        <f t="shared" si="95"/>
        <v>0</v>
      </c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</row>
    <row r="313" spans="1:255" ht="31.5" x14ac:dyDescent="0.25">
      <c r="A313" s="35" t="s">
        <v>289</v>
      </c>
      <c r="B313" s="36">
        <v>2</v>
      </c>
      <c r="C313" s="36">
        <v>735</v>
      </c>
      <c r="D313" s="36">
        <v>5203</v>
      </c>
      <c r="E313" s="38">
        <f t="shared" si="87"/>
        <v>13200</v>
      </c>
      <c r="F313" s="38">
        <f t="shared" si="87"/>
        <v>13200</v>
      </c>
      <c r="G313" s="38">
        <f t="shared" si="87"/>
        <v>0</v>
      </c>
      <c r="H313" s="38">
        <v>0</v>
      </c>
      <c r="I313" s="38">
        <v>0</v>
      </c>
      <c r="J313" s="38">
        <f t="shared" si="88"/>
        <v>0</v>
      </c>
      <c r="K313" s="38">
        <v>0</v>
      </c>
      <c r="L313" s="38">
        <v>0</v>
      </c>
      <c r="M313" s="38">
        <f t="shared" si="89"/>
        <v>0</v>
      </c>
      <c r="N313" s="38">
        <v>13200</v>
      </c>
      <c r="O313" s="38">
        <v>13200</v>
      </c>
      <c r="P313" s="38">
        <f t="shared" si="90"/>
        <v>0</v>
      </c>
      <c r="Q313" s="38">
        <v>0</v>
      </c>
      <c r="R313" s="38">
        <v>0</v>
      </c>
      <c r="S313" s="38">
        <f t="shared" si="91"/>
        <v>0</v>
      </c>
      <c r="T313" s="38">
        <v>0</v>
      </c>
      <c r="U313" s="38">
        <v>0</v>
      </c>
      <c r="V313" s="38">
        <f t="shared" si="92"/>
        <v>0</v>
      </c>
      <c r="W313" s="38">
        <v>0</v>
      </c>
      <c r="X313" s="38">
        <v>0</v>
      </c>
      <c r="Y313" s="38">
        <f t="shared" si="93"/>
        <v>0</v>
      </c>
      <c r="Z313" s="38">
        <v>0</v>
      </c>
      <c r="AA313" s="38">
        <v>0</v>
      </c>
      <c r="AB313" s="38">
        <f t="shared" si="94"/>
        <v>0</v>
      </c>
      <c r="AC313" s="38">
        <v>0</v>
      </c>
      <c r="AD313" s="38">
        <v>0</v>
      </c>
      <c r="AE313" s="38">
        <f t="shared" si="95"/>
        <v>0</v>
      </c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</row>
    <row r="314" spans="1:255" ht="29.25" customHeight="1" x14ac:dyDescent="0.25">
      <c r="A314" s="35" t="s">
        <v>290</v>
      </c>
      <c r="B314" s="36">
        <v>2</v>
      </c>
      <c r="C314" s="36">
        <v>759</v>
      </c>
      <c r="D314" s="36">
        <v>5203</v>
      </c>
      <c r="E314" s="38">
        <f t="shared" si="87"/>
        <v>0</v>
      </c>
      <c r="F314" s="38">
        <f t="shared" si="87"/>
        <v>2313</v>
      </c>
      <c r="G314" s="38">
        <f t="shared" si="87"/>
        <v>2313</v>
      </c>
      <c r="H314" s="38">
        <v>0</v>
      </c>
      <c r="I314" s="38">
        <v>0</v>
      </c>
      <c r="J314" s="38">
        <f t="shared" si="88"/>
        <v>0</v>
      </c>
      <c r="K314" s="38">
        <v>0</v>
      </c>
      <c r="L314" s="38">
        <v>0</v>
      </c>
      <c r="M314" s="38">
        <f t="shared" si="89"/>
        <v>0</v>
      </c>
      <c r="N314" s="38"/>
      <c r="O314" s="38">
        <v>2313</v>
      </c>
      <c r="P314" s="38">
        <f t="shared" si="90"/>
        <v>2313</v>
      </c>
      <c r="Q314" s="38">
        <v>0</v>
      </c>
      <c r="R314" s="38">
        <v>0</v>
      </c>
      <c r="S314" s="38">
        <f t="shared" si="91"/>
        <v>0</v>
      </c>
      <c r="T314" s="38">
        <v>0</v>
      </c>
      <c r="U314" s="38">
        <v>0</v>
      </c>
      <c r="V314" s="38">
        <f t="shared" si="92"/>
        <v>0</v>
      </c>
      <c r="W314" s="38">
        <v>0</v>
      </c>
      <c r="X314" s="38">
        <v>0</v>
      </c>
      <c r="Y314" s="38">
        <f t="shared" si="93"/>
        <v>0</v>
      </c>
      <c r="Z314" s="38">
        <v>0</v>
      </c>
      <c r="AA314" s="38">
        <v>0</v>
      </c>
      <c r="AB314" s="38">
        <f t="shared" si="94"/>
        <v>0</v>
      </c>
      <c r="AC314" s="38">
        <v>0</v>
      </c>
      <c r="AD314" s="38">
        <v>0</v>
      </c>
      <c r="AE314" s="38">
        <f t="shared" si="95"/>
        <v>0</v>
      </c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25"/>
      <c r="FN314" s="25"/>
      <c r="FO314" s="25"/>
      <c r="FP314" s="25"/>
      <c r="FQ314" s="25"/>
      <c r="FR314" s="25"/>
      <c r="FS314" s="25"/>
      <c r="FT314" s="25"/>
      <c r="FU314" s="25"/>
      <c r="FV314" s="25"/>
      <c r="FW314" s="25"/>
      <c r="FX314" s="25"/>
      <c r="FY314" s="25"/>
      <c r="FZ314" s="25"/>
      <c r="GA314" s="25"/>
      <c r="GB314" s="25"/>
      <c r="GC314" s="25"/>
      <c r="GD314" s="25"/>
      <c r="GE314" s="25"/>
      <c r="GF314" s="25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</row>
    <row r="315" spans="1:255" ht="29.25" customHeight="1" x14ac:dyDescent="0.25">
      <c r="A315" s="35" t="s">
        <v>291</v>
      </c>
      <c r="B315" s="36">
        <v>2</v>
      </c>
      <c r="C315" s="36">
        <v>759</v>
      </c>
      <c r="D315" s="36">
        <v>5203</v>
      </c>
      <c r="E315" s="38">
        <f t="shared" si="87"/>
        <v>4497</v>
      </c>
      <c r="F315" s="38">
        <f t="shared" si="87"/>
        <v>9797</v>
      </c>
      <c r="G315" s="38">
        <f t="shared" si="87"/>
        <v>5300</v>
      </c>
      <c r="H315" s="38">
        <v>0</v>
      </c>
      <c r="I315" s="38">
        <v>0</v>
      </c>
      <c r="J315" s="38">
        <f t="shared" si="88"/>
        <v>0</v>
      </c>
      <c r="K315" s="38">
        <v>0</v>
      </c>
      <c r="L315" s="38">
        <v>0</v>
      </c>
      <c r="M315" s="38">
        <f t="shared" si="89"/>
        <v>0</v>
      </c>
      <c r="N315" s="38">
        <f>4900-403</f>
        <v>4497</v>
      </c>
      <c r="O315" s="38">
        <f>4900-403+5300</f>
        <v>9797</v>
      </c>
      <c r="P315" s="38">
        <f t="shared" si="90"/>
        <v>5300</v>
      </c>
      <c r="Q315" s="38">
        <v>0</v>
      </c>
      <c r="R315" s="38">
        <v>0</v>
      </c>
      <c r="S315" s="38">
        <f t="shared" si="91"/>
        <v>0</v>
      </c>
      <c r="T315" s="38">
        <v>0</v>
      </c>
      <c r="U315" s="38">
        <v>0</v>
      </c>
      <c r="V315" s="38">
        <f t="shared" si="92"/>
        <v>0</v>
      </c>
      <c r="W315" s="38">
        <v>0</v>
      </c>
      <c r="X315" s="38">
        <v>0</v>
      </c>
      <c r="Y315" s="38">
        <f t="shared" si="93"/>
        <v>0</v>
      </c>
      <c r="Z315" s="38">
        <v>0</v>
      </c>
      <c r="AA315" s="38">
        <v>0</v>
      </c>
      <c r="AB315" s="38">
        <f t="shared" si="94"/>
        <v>0</v>
      </c>
      <c r="AC315" s="38">
        <v>0</v>
      </c>
      <c r="AD315" s="38">
        <v>0</v>
      </c>
      <c r="AE315" s="38">
        <f t="shared" si="95"/>
        <v>0</v>
      </c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25"/>
      <c r="FN315" s="25"/>
      <c r="FO315" s="25"/>
      <c r="FP315" s="25"/>
      <c r="FQ315" s="25"/>
      <c r="FR315" s="25"/>
      <c r="FS315" s="25"/>
      <c r="FT315" s="25"/>
      <c r="FU315" s="25"/>
      <c r="FV315" s="25"/>
      <c r="FW315" s="25"/>
      <c r="FX315" s="25"/>
      <c r="FY315" s="25"/>
      <c r="FZ315" s="25"/>
      <c r="GA315" s="25"/>
      <c r="GB315" s="25"/>
      <c r="GC315" s="25"/>
      <c r="GD315" s="25"/>
      <c r="GE315" s="25"/>
      <c r="GF315" s="25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</row>
    <row r="316" spans="1:255" x14ac:dyDescent="0.25">
      <c r="A316" s="26" t="s">
        <v>128</v>
      </c>
      <c r="B316" s="34"/>
      <c r="C316" s="34"/>
      <c r="D316" s="34"/>
      <c r="E316" s="27">
        <f t="shared" si="87"/>
        <v>254745</v>
      </c>
      <c r="F316" s="27">
        <f t="shared" si="87"/>
        <v>259005</v>
      </c>
      <c r="G316" s="27">
        <f t="shared" si="87"/>
        <v>4260</v>
      </c>
      <c r="H316" s="27">
        <f>SUM(H318:H319)</f>
        <v>0</v>
      </c>
      <c r="I316" s="27">
        <f>SUM(I318:I319)</f>
        <v>0</v>
      </c>
      <c r="J316" s="27">
        <f t="shared" si="88"/>
        <v>0</v>
      </c>
      <c r="K316" s="27">
        <f>SUM(K317:K319)</f>
        <v>0</v>
      </c>
      <c r="L316" s="27">
        <f>SUM(L317:L319)</f>
        <v>0</v>
      </c>
      <c r="M316" s="27">
        <f t="shared" si="89"/>
        <v>0</v>
      </c>
      <c r="N316" s="27">
        <f t="shared" ref="N316:O316" si="96">SUM(N317:N319)</f>
        <v>0</v>
      </c>
      <c r="O316" s="27">
        <f t="shared" si="96"/>
        <v>4260</v>
      </c>
      <c r="P316" s="27">
        <f t="shared" si="90"/>
        <v>4260</v>
      </c>
      <c r="Q316" s="27">
        <f t="shared" ref="Q316:R316" si="97">SUM(Q317:Q319)</f>
        <v>254745</v>
      </c>
      <c r="R316" s="27">
        <f t="shared" si="97"/>
        <v>254745</v>
      </c>
      <c r="S316" s="27">
        <f t="shared" si="91"/>
        <v>0</v>
      </c>
      <c r="T316" s="27">
        <f t="shared" ref="T316:U316" si="98">SUM(T317:T319)</f>
        <v>0</v>
      </c>
      <c r="U316" s="27">
        <f t="shared" si="98"/>
        <v>0</v>
      </c>
      <c r="V316" s="27">
        <f t="shared" si="92"/>
        <v>0</v>
      </c>
      <c r="W316" s="27">
        <f t="shared" ref="W316:X316" si="99">SUM(W317:W319)</f>
        <v>0</v>
      </c>
      <c r="X316" s="27">
        <f t="shared" si="99"/>
        <v>0</v>
      </c>
      <c r="Y316" s="27">
        <f t="shared" si="93"/>
        <v>0</v>
      </c>
      <c r="Z316" s="27">
        <f t="shared" ref="Z316:AA316" si="100">SUM(Z317:Z319)</f>
        <v>0</v>
      </c>
      <c r="AA316" s="27">
        <f t="shared" si="100"/>
        <v>0</v>
      </c>
      <c r="AB316" s="27">
        <f t="shared" si="94"/>
        <v>0</v>
      </c>
      <c r="AC316" s="27">
        <f t="shared" ref="AC316:AD316" si="101">SUM(AC317:AC319)</f>
        <v>0</v>
      </c>
      <c r="AD316" s="27">
        <f t="shared" si="101"/>
        <v>0</v>
      </c>
      <c r="AE316" s="27">
        <f t="shared" si="95"/>
        <v>0</v>
      </c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5"/>
      <c r="FO316" s="25"/>
      <c r="FP316" s="25"/>
      <c r="FQ316" s="25"/>
      <c r="FR316" s="25"/>
      <c r="FS316" s="25"/>
      <c r="FT316" s="25"/>
      <c r="FU316" s="25"/>
      <c r="FV316" s="25"/>
      <c r="FW316" s="25"/>
      <c r="FX316" s="25"/>
      <c r="FY316" s="25"/>
      <c r="FZ316" s="25"/>
      <c r="GA316" s="25"/>
      <c r="GB316" s="25"/>
      <c r="GC316" s="25"/>
      <c r="GD316" s="25"/>
      <c r="GE316" s="25"/>
      <c r="GF316" s="25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</row>
    <row r="317" spans="1:255" ht="31.5" x14ac:dyDescent="0.25">
      <c r="A317" s="35" t="s">
        <v>292</v>
      </c>
      <c r="B317" s="36">
        <v>2</v>
      </c>
      <c r="C317" s="36">
        <v>735</v>
      </c>
      <c r="D317" s="36">
        <v>5205</v>
      </c>
      <c r="E317" s="38">
        <f t="shared" si="87"/>
        <v>0</v>
      </c>
      <c r="F317" s="38">
        <f t="shared" si="87"/>
        <v>2472</v>
      </c>
      <c r="G317" s="38">
        <f t="shared" si="87"/>
        <v>2472</v>
      </c>
      <c r="H317" s="38"/>
      <c r="I317" s="38"/>
      <c r="J317" s="38">
        <f t="shared" si="88"/>
        <v>0</v>
      </c>
      <c r="K317" s="38"/>
      <c r="L317" s="38"/>
      <c r="M317" s="38">
        <f t="shared" si="89"/>
        <v>0</v>
      </c>
      <c r="N317" s="38"/>
      <c r="O317" s="38">
        <v>2472</v>
      </c>
      <c r="P317" s="38">
        <f t="shared" si="90"/>
        <v>2472</v>
      </c>
      <c r="Q317" s="38"/>
      <c r="R317" s="38"/>
      <c r="S317" s="38">
        <f t="shared" si="91"/>
        <v>0</v>
      </c>
      <c r="T317" s="38"/>
      <c r="U317" s="38"/>
      <c r="V317" s="38">
        <f t="shared" si="92"/>
        <v>0</v>
      </c>
      <c r="W317" s="38"/>
      <c r="X317" s="38"/>
      <c r="Y317" s="38">
        <f t="shared" si="93"/>
        <v>0</v>
      </c>
      <c r="Z317" s="38"/>
      <c r="AA317" s="38"/>
      <c r="AB317" s="38">
        <f t="shared" si="94"/>
        <v>0</v>
      </c>
      <c r="AC317" s="38"/>
      <c r="AD317" s="38"/>
      <c r="AE317" s="38">
        <f t="shared" si="95"/>
        <v>0</v>
      </c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</row>
    <row r="318" spans="1:255" ht="31.5" x14ac:dyDescent="0.25">
      <c r="A318" s="29" t="s">
        <v>293</v>
      </c>
      <c r="B318" s="36">
        <v>3</v>
      </c>
      <c r="C318" s="36">
        <v>739</v>
      </c>
      <c r="D318" s="36">
        <v>5205</v>
      </c>
      <c r="E318" s="38">
        <f t="shared" si="87"/>
        <v>0</v>
      </c>
      <c r="F318" s="38">
        <f t="shared" si="87"/>
        <v>1788</v>
      </c>
      <c r="G318" s="38">
        <f t="shared" si="87"/>
        <v>1788</v>
      </c>
      <c r="H318" s="38">
        <v>0</v>
      </c>
      <c r="I318" s="38">
        <v>0</v>
      </c>
      <c r="J318" s="38">
        <f t="shared" si="88"/>
        <v>0</v>
      </c>
      <c r="K318" s="38">
        <v>0</v>
      </c>
      <c r="L318" s="38">
        <v>0</v>
      </c>
      <c r="M318" s="38">
        <f t="shared" si="89"/>
        <v>0</v>
      </c>
      <c r="N318" s="38">
        <v>0</v>
      </c>
      <c r="O318" s="38">
        <v>1788</v>
      </c>
      <c r="P318" s="38">
        <f t="shared" si="90"/>
        <v>1788</v>
      </c>
      <c r="Q318" s="38">
        <v>0</v>
      </c>
      <c r="R318" s="38">
        <v>0</v>
      </c>
      <c r="S318" s="38">
        <f t="shared" si="91"/>
        <v>0</v>
      </c>
      <c r="T318" s="38">
        <v>0</v>
      </c>
      <c r="U318" s="38">
        <v>0</v>
      </c>
      <c r="V318" s="38">
        <f t="shared" si="92"/>
        <v>0</v>
      </c>
      <c r="W318" s="38">
        <v>0</v>
      </c>
      <c r="X318" s="38">
        <v>0</v>
      </c>
      <c r="Y318" s="38">
        <f t="shared" si="93"/>
        <v>0</v>
      </c>
      <c r="Z318" s="38">
        <v>0</v>
      </c>
      <c r="AA318" s="38">
        <v>0</v>
      </c>
      <c r="AB318" s="38">
        <f t="shared" si="94"/>
        <v>0</v>
      </c>
      <c r="AC318" s="38">
        <v>0</v>
      </c>
      <c r="AD318" s="38">
        <v>0</v>
      </c>
      <c r="AE318" s="38">
        <f t="shared" si="95"/>
        <v>0</v>
      </c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</row>
    <row r="319" spans="1:255" ht="63" x14ac:dyDescent="0.25">
      <c r="A319" s="35" t="s">
        <v>294</v>
      </c>
      <c r="B319" s="36"/>
      <c r="C319" s="36"/>
      <c r="D319" s="36"/>
      <c r="E319" s="38">
        <f t="shared" si="87"/>
        <v>254745</v>
      </c>
      <c r="F319" s="38">
        <f t="shared" si="87"/>
        <v>254745</v>
      </c>
      <c r="G319" s="38">
        <f t="shared" si="87"/>
        <v>0</v>
      </c>
      <c r="H319" s="38">
        <v>0</v>
      </c>
      <c r="I319" s="38">
        <v>0</v>
      </c>
      <c r="J319" s="38">
        <f t="shared" si="88"/>
        <v>0</v>
      </c>
      <c r="K319" s="38">
        <v>0</v>
      </c>
      <c r="L319" s="38">
        <v>0</v>
      </c>
      <c r="M319" s="38">
        <f t="shared" si="89"/>
        <v>0</v>
      </c>
      <c r="N319" s="38">
        <v>0</v>
      </c>
      <c r="O319" s="38">
        <v>0</v>
      </c>
      <c r="P319" s="38">
        <f t="shared" si="90"/>
        <v>0</v>
      </c>
      <c r="Q319" s="38">
        <v>254745</v>
      </c>
      <c r="R319" s="38">
        <v>254745</v>
      </c>
      <c r="S319" s="38">
        <f t="shared" si="91"/>
        <v>0</v>
      </c>
      <c r="T319" s="38">
        <v>0</v>
      </c>
      <c r="U319" s="38">
        <v>0</v>
      </c>
      <c r="V319" s="38">
        <f t="shared" si="92"/>
        <v>0</v>
      </c>
      <c r="W319" s="38">
        <v>0</v>
      </c>
      <c r="X319" s="38">
        <v>0</v>
      </c>
      <c r="Y319" s="38">
        <f t="shared" si="93"/>
        <v>0</v>
      </c>
      <c r="Z319" s="38">
        <v>0</v>
      </c>
      <c r="AA319" s="38">
        <v>0</v>
      </c>
      <c r="AB319" s="38">
        <f t="shared" si="94"/>
        <v>0</v>
      </c>
      <c r="AC319" s="38">
        <v>0</v>
      </c>
      <c r="AD319" s="38">
        <v>0</v>
      </c>
      <c r="AE319" s="38">
        <f t="shared" si="95"/>
        <v>0</v>
      </c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</row>
    <row r="320" spans="1:255" x14ac:dyDescent="0.25">
      <c r="A320" s="26" t="s">
        <v>234</v>
      </c>
      <c r="B320" s="34"/>
      <c r="C320" s="34"/>
      <c r="D320" s="34"/>
      <c r="E320" s="27">
        <f t="shared" si="87"/>
        <v>7647</v>
      </c>
      <c r="F320" s="27">
        <f t="shared" si="87"/>
        <v>198251</v>
      </c>
      <c r="G320" s="27">
        <f t="shared" si="87"/>
        <v>190604</v>
      </c>
      <c r="H320" s="27">
        <f>SUM(H321:H322)</f>
        <v>0</v>
      </c>
      <c r="I320" s="27">
        <f>SUM(I321:I322)</f>
        <v>190604</v>
      </c>
      <c r="J320" s="27">
        <f t="shared" si="88"/>
        <v>190604</v>
      </c>
      <c r="K320" s="27">
        <f t="shared" ref="K320:L320" si="102">SUM(K321:K322)</f>
        <v>0</v>
      </c>
      <c r="L320" s="27">
        <f t="shared" si="102"/>
        <v>0</v>
      </c>
      <c r="M320" s="27">
        <f t="shared" si="89"/>
        <v>0</v>
      </c>
      <c r="N320" s="27">
        <f t="shared" ref="N320:O320" si="103">SUM(N321:N322)</f>
        <v>0</v>
      </c>
      <c r="O320" s="27">
        <f t="shared" si="103"/>
        <v>0</v>
      </c>
      <c r="P320" s="27">
        <f t="shared" si="90"/>
        <v>0</v>
      </c>
      <c r="Q320" s="27">
        <f t="shared" ref="Q320:R320" si="104">SUM(Q321:Q322)</f>
        <v>0</v>
      </c>
      <c r="R320" s="27">
        <f t="shared" si="104"/>
        <v>0</v>
      </c>
      <c r="S320" s="27">
        <f t="shared" si="91"/>
        <v>0</v>
      </c>
      <c r="T320" s="27">
        <f t="shared" ref="T320:U320" si="105">SUM(T321:T322)</f>
        <v>0</v>
      </c>
      <c r="U320" s="27">
        <f t="shared" si="105"/>
        <v>0</v>
      </c>
      <c r="V320" s="27">
        <f t="shared" si="92"/>
        <v>0</v>
      </c>
      <c r="W320" s="27">
        <f t="shared" ref="W320:X320" si="106">SUM(W321:W322)</f>
        <v>7647</v>
      </c>
      <c r="X320" s="27">
        <f t="shared" si="106"/>
        <v>7647</v>
      </c>
      <c r="Y320" s="27">
        <f t="shared" si="93"/>
        <v>0</v>
      </c>
      <c r="Z320" s="27">
        <f t="shared" ref="Z320:AA320" si="107">SUM(Z321:Z322)</f>
        <v>0</v>
      </c>
      <c r="AA320" s="27">
        <f t="shared" si="107"/>
        <v>0</v>
      </c>
      <c r="AB320" s="27">
        <f t="shared" si="94"/>
        <v>0</v>
      </c>
      <c r="AC320" s="27">
        <f t="shared" ref="AC320:AD320" si="108">SUM(AC321:AC322)</f>
        <v>0</v>
      </c>
      <c r="AD320" s="27">
        <f t="shared" si="108"/>
        <v>0</v>
      </c>
      <c r="AE320" s="27">
        <f t="shared" si="95"/>
        <v>0</v>
      </c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  <c r="GE320" s="25"/>
      <c r="GF320" s="25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</row>
    <row r="321" spans="1:255" ht="42.75" customHeight="1" x14ac:dyDescent="0.25">
      <c r="A321" s="35" t="s">
        <v>295</v>
      </c>
      <c r="B321" s="36">
        <v>2</v>
      </c>
      <c r="C321" s="36">
        <v>714</v>
      </c>
      <c r="D321" s="36">
        <v>5206</v>
      </c>
      <c r="E321" s="38">
        <f t="shared" si="87"/>
        <v>7647</v>
      </c>
      <c r="F321" s="38">
        <f t="shared" si="87"/>
        <v>7647</v>
      </c>
      <c r="G321" s="38">
        <f t="shared" si="87"/>
        <v>0</v>
      </c>
      <c r="H321" s="38">
        <v>0</v>
      </c>
      <c r="I321" s="38">
        <v>0</v>
      </c>
      <c r="J321" s="38">
        <f t="shared" si="88"/>
        <v>0</v>
      </c>
      <c r="K321" s="38">
        <v>0</v>
      </c>
      <c r="L321" s="38">
        <v>0</v>
      </c>
      <c r="M321" s="38">
        <f t="shared" si="89"/>
        <v>0</v>
      </c>
      <c r="N321" s="38">
        <v>0</v>
      </c>
      <c r="O321" s="38">
        <v>0</v>
      </c>
      <c r="P321" s="38">
        <f t="shared" si="90"/>
        <v>0</v>
      </c>
      <c r="Q321" s="38">
        <v>0</v>
      </c>
      <c r="R321" s="38">
        <v>0</v>
      </c>
      <c r="S321" s="38">
        <f t="shared" si="91"/>
        <v>0</v>
      </c>
      <c r="T321" s="38">
        <v>0</v>
      </c>
      <c r="U321" s="38">
        <v>0</v>
      </c>
      <c r="V321" s="38">
        <f t="shared" si="92"/>
        <v>0</v>
      </c>
      <c r="W321" s="38">
        <v>7647</v>
      </c>
      <c r="X321" s="38">
        <v>7647</v>
      </c>
      <c r="Y321" s="38">
        <f t="shared" si="93"/>
        <v>0</v>
      </c>
      <c r="Z321" s="38">
        <v>0</v>
      </c>
      <c r="AA321" s="38">
        <v>0</v>
      </c>
      <c r="AB321" s="38">
        <f t="shared" si="94"/>
        <v>0</v>
      </c>
      <c r="AC321" s="38">
        <v>0</v>
      </c>
      <c r="AD321" s="38">
        <v>0</v>
      </c>
      <c r="AE321" s="38">
        <f t="shared" si="95"/>
        <v>0</v>
      </c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25"/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  <c r="GE321" s="25"/>
      <c r="GF321" s="25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</row>
    <row r="322" spans="1:255" ht="47.25" x14ac:dyDescent="0.25">
      <c r="A322" s="35" t="s">
        <v>296</v>
      </c>
      <c r="B322" s="36">
        <v>2</v>
      </c>
      <c r="C322" s="36">
        <v>714</v>
      </c>
      <c r="D322" s="36">
        <v>5206</v>
      </c>
      <c r="E322" s="38">
        <f t="shared" si="87"/>
        <v>0</v>
      </c>
      <c r="F322" s="38">
        <f t="shared" si="87"/>
        <v>190604</v>
      </c>
      <c r="G322" s="38">
        <f t="shared" si="87"/>
        <v>190604</v>
      </c>
      <c r="H322" s="38">
        <v>0</v>
      </c>
      <c r="I322" s="38">
        <v>190604</v>
      </c>
      <c r="J322" s="38">
        <f t="shared" si="88"/>
        <v>190604</v>
      </c>
      <c r="K322" s="38">
        <v>0</v>
      </c>
      <c r="L322" s="38">
        <v>0</v>
      </c>
      <c r="M322" s="38">
        <f t="shared" si="89"/>
        <v>0</v>
      </c>
      <c r="N322" s="38">
        <v>0</v>
      </c>
      <c r="O322" s="38">
        <v>0</v>
      </c>
      <c r="P322" s="38">
        <f t="shared" si="90"/>
        <v>0</v>
      </c>
      <c r="Q322" s="38">
        <v>0</v>
      </c>
      <c r="R322" s="38">
        <v>0</v>
      </c>
      <c r="S322" s="38">
        <f t="shared" si="91"/>
        <v>0</v>
      </c>
      <c r="T322" s="38">
        <v>0</v>
      </c>
      <c r="U322" s="38">
        <v>0</v>
      </c>
      <c r="V322" s="38">
        <f t="shared" si="92"/>
        <v>0</v>
      </c>
      <c r="W322" s="38"/>
      <c r="X322" s="38"/>
      <c r="Y322" s="38">
        <f t="shared" si="93"/>
        <v>0</v>
      </c>
      <c r="Z322" s="38">
        <v>0</v>
      </c>
      <c r="AA322" s="38">
        <v>0</v>
      </c>
      <c r="AB322" s="38">
        <f t="shared" si="94"/>
        <v>0</v>
      </c>
      <c r="AC322" s="38">
        <v>0</v>
      </c>
      <c r="AD322" s="38">
        <v>0</v>
      </c>
      <c r="AE322" s="38">
        <f t="shared" si="95"/>
        <v>0</v>
      </c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25"/>
      <c r="FN322" s="25"/>
      <c r="FO322" s="25"/>
      <c r="FP322" s="25"/>
      <c r="FQ322" s="25"/>
      <c r="FR322" s="25"/>
      <c r="FS322" s="25"/>
      <c r="FT322" s="25"/>
      <c r="FU322" s="25"/>
      <c r="FV322" s="25"/>
      <c r="FW322" s="25"/>
      <c r="FX322" s="25"/>
      <c r="FY322" s="25"/>
      <c r="FZ322" s="25"/>
      <c r="GA322" s="25"/>
      <c r="GB322" s="25"/>
      <c r="GC322" s="25"/>
      <c r="GD322" s="25"/>
      <c r="GE322" s="25"/>
      <c r="GF322" s="25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</row>
    <row r="323" spans="1:255" ht="25.5" customHeight="1" x14ac:dyDescent="0.25">
      <c r="A323" s="26" t="s">
        <v>174</v>
      </c>
      <c r="B323" s="34"/>
      <c r="C323" s="34"/>
      <c r="D323" s="34"/>
      <c r="E323" s="27">
        <f t="shared" si="87"/>
        <v>37668</v>
      </c>
      <c r="F323" s="27">
        <f t="shared" si="87"/>
        <v>35880</v>
      </c>
      <c r="G323" s="27">
        <f t="shared" si="87"/>
        <v>-1788</v>
      </c>
      <c r="H323" s="27">
        <f>SUM(H324:H326)</f>
        <v>0</v>
      </c>
      <c r="I323" s="27">
        <f>SUM(I324:I326)</f>
        <v>0</v>
      </c>
      <c r="J323" s="27">
        <f t="shared" si="88"/>
        <v>0</v>
      </c>
      <c r="K323" s="27">
        <f>SUM(K324:K326)</f>
        <v>0</v>
      </c>
      <c r="L323" s="27">
        <f>SUM(L324:L326)</f>
        <v>0</v>
      </c>
      <c r="M323" s="27">
        <f t="shared" si="89"/>
        <v>0</v>
      </c>
      <c r="N323" s="27">
        <f>SUM(N324:N326)</f>
        <v>35069</v>
      </c>
      <c r="O323" s="27">
        <f>SUM(O324:O326)</f>
        <v>33281</v>
      </c>
      <c r="P323" s="27">
        <f t="shared" si="90"/>
        <v>-1788</v>
      </c>
      <c r="Q323" s="27">
        <f>SUM(Q324:Q326)</f>
        <v>0</v>
      </c>
      <c r="R323" s="27">
        <f>SUM(R324:R326)</f>
        <v>0</v>
      </c>
      <c r="S323" s="27">
        <f t="shared" si="91"/>
        <v>0</v>
      </c>
      <c r="T323" s="27">
        <f>SUM(T324:T326)</f>
        <v>2599</v>
      </c>
      <c r="U323" s="27">
        <f>SUM(U324:U326)</f>
        <v>2599</v>
      </c>
      <c r="V323" s="27">
        <f t="shared" si="92"/>
        <v>0</v>
      </c>
      <c r="W323" s="27">
        <f>SUM(W324:W326)</f>
        <v>0</v>
      </c>
      <c r="X323" s="27">
        <f>SUM(X324:X326)</f>
        <v>0</v>
      </c>
      <c r="Y323" s="27">
        <f t="shared" si="93"/>
        <v>0</v>
      </c>
      <c r="Z323" s="27">
        <f>SUM(Z324:Z326)</f>
        <v>0</v>
      </c>
      <c r="AA323" s="27">
        <f>SUM(AA324:AA326)</f>
        <v>0</v>
      </c>
      <c r="AB323" s="27">
        <f t="shared" si="94"/>
        <v>0</v>
      </c>
      <c r="AC323" s="27">
        <f>SUM(AC324:AC326)</f>
        <v>0</v>
      </c>
      <c r="AD323" s="27">
        <f>SUM(AD324:AD326)</f>
        <v>0</v>
      </c>
      <c r="AE323" s="27">
        <f t="shared" si="95"/>
        <v>0</v>
      </c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5"/>
      <c r="DZ323" s="25"/>
      <c r="EA323" s="25"/>
      <c r="EB323" s="25"/>
      <c r="EC323" s="25"/>
      <c r="ED323" s="25"/>
      <c r="EE323" s="25"/>
      <c r="EF323" s="25"/>
      <c r="EG323" s="25"/>
      <c r="EH323" s="25"/>
      <c r="EI323" s="25"/>
      <c r="EJ323" s="25"/>
      <c r="EK323" s="25"/>
      <c r="EL323" s="25"/>
      <c r="EM323" s="25"/>
      <c r="EN323" s="25"/>
      <c r="EO323" s="25"/>
      <c r="EP323" s="25"/>
      <c r="EQ323" s="25"/>
      <c r="ER323" s="25"/>
      <c r="ES323" s="25"/>
      <c r="ET323" s="25"/>
      <c r="EU323" s="25"/>
      <c r="EV323" s="25"/>
      <c r="EW323" s="25"/>
      <c r="EX323" s="25"/>
      <c r="EY323" s="25"/>
      <c r="EZ323" s="25"/>
      <c r="FA323" s="25"/>
      <c r="FB323" s="25"/>
      <c r="FC323" s="25"/>
      <c r="FD323" s="25"/>
      <c r="FE323" s="25"/>
      <c r="FF323" s="25"/>
      <c r="FG323" s="25"/>
      <c r="FH323" s="25"/>
      <c r="FI323" s="25"/>
      <c r="FJ323" s="25"/>
      <c r="FK323" s="25"/>
      <c r="FL323" s="25"/>
      <c r="FM323" s="25"/>
      <c r="FN323" s="25"/>
      <c r="FO323" s="25"/>
      <c r="FP323" s="25"/>
      <c r="FQ323" s="25"/>
      <c r="FR323" s="25"/>
      <c r="FS323" s="25"/>
      <c r="FT323" s="25"/>
      <c r="FU323" s="25"/>
      <c r="FV323" s="25"/>
      <c r="FW323" s="25"/>
      <c r="FX323" s="25"/>
      <c r="FY323" s="25"/>
      <c r="FZ323" s="25"/>
      <c r="GA323" s="25"/>
      <c r="GB323" s="25"/>
      <c r="GC323" s="25"/>
      <c r="GD323" s="25"/>
      <c r="GE323" s="25"/>
      <c r="GF323" s="25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</row>
    <row r="324" spans="1:255" ht="29.25" customHeight="1" x14ac:dyDescent="0.25">
      <c r="A324" s="35" t="s">
        <v>297</v>
      </c>
      <c r="B324" s="48" t="s">
        <v>298</v>
      </c>
      <c r="C324" s="36">
        <v>759</v>
      </c>
      <c r="D324" s="36">
        <v>5219</v>
      </c>
      <c r="E324" s="38">
        <f t="shared" si="87"/>
        <v>5880</v>
      </c>
      <c r="F324" s="38">
        <f t="shared" si="87"/>
        <v>5880</v>
      </c>
      <c r="G324" s="38">
        <f t="shared" si="87"/>
        <v>0</v>
      </c>
      <c r="H324" s="38">
        <v>0</v>
      </c>
      <c r="I324" s="38">
        <v>0</v>
      </c>
      <c r="J324" s="38">
        <f t="shared" si="88"/>
        <v>0</v>
      </c>
      <c r="K324" s="38">
        <v>0</v>
      </c>
      <c r="L324" s="38">
        <v>0</v>
      </c>
      <c r="M324" s="38">
        <f t="shared" si="89"/>
        <v>0</v>
      </c>
      <c r="N324" s="38">
        <v>3281</v>
      </c>
      <c r="O324" s="38">
        <v>3281</v>
      </c>
      <c r="P324" s="38">
        <f t="shared" si="90"/>
        <v>0</v>
      </c>
      <c r="Q324" s="38">
        <v>0</v>
      </c>
      <c r="R324" s="38">
        <v>0</v>
      </c>
      <c r="S324" s="38">
        <f t="shared" si="91"/>
        <v>0</v>
      </c>
      <c r="T324" s="38">
        <v>2599</v>
      </c>
      <c r="U324" s="38">
        <v>2599</v>
      </c>
      <c r="V324" s="38">
        <f t="shared" si="92"/>
        <v>0</v>
      </c>
      <c r="W324" s="38">
        <v>0</v>
      </c>
      <c r="X324" s="38">
        <v>0</v>
      </c>
      <c r="Y324" s="38">
        <f t="shared" si="93"/>
        <v>0</v>
      </c>
      <c r="Z324" s="38">
        <v>0</v>
      </c>
      <c r="AA324" s="38">
        <v>0</v>
      </c>
      <c r="AB324" s="38">
        <f t="shared" si="94"/>
        <v>0</v>
      </c>
      <c r="AC324" s="38">
        <v>0</v>
      </c>
      <c r="AD324" s="38">
        <v>0</v>
      </c>
      <c r="AE324" s="38">
        <f t="shared" si="95"/>
        <v>0</v>
      </c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25"/>
      <c r="FN324" s="25"/>
      <c r="FO324" s="25"/>
      <c r="FP324" s="25"/>
      <c r="FQ324" s="25"/>
      <c r="FR324" s="25"/>
      <c r="FS324" s="25"/>
      <c r="FT324" s="25"/>
      <c r="FU324" s="25"/>
      <c r="FV324" s="25"/>
      <c r="FW324" s="25"/>
      <c r="FX324" s="25"/>
      <c r="FY324" s="25"/>
      <c r="FZ324" s="25"/>
      <c r="GA324" s="25"/>
      <c r="GB324" s="25"/>
      <c r="GC324" s="25"/>
      <c r="GD324" s="25"/>
      <c r="GE324" s="25"/>
      <c r="GF324" s="25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</row>
    <row r="325" spans="1:255" ht="31.5" x14ac:dyDescent="0.25">
      <c r="A325" s="29" t="s">
        <v>299</v>
      </c>
      <c r="B325" s="36">
        <v>3</v>
      </c>
      <c r="C325" s="36">
        <v>739</v>
      </c>
      <c r="D325" s="36">
        <v>5219</v>
      </c>
      <c r="E325" s="38">
        <f t="shared" si="87"/>
        <v>1788</v>
      </c>
      <c r="F325" s="38">
        <f t="shared" si="87"/>
        <v>0</v>
      </c>
      <c r="G325" s="38">
        <f t="shared" si="87"/>
        <v>-1788</v>
      </c>
      <c r="H325" s="38">
        <v>0</v>
      </c>
      <c r="I325" s="38">
        <v>0</v>
      </c>
      <c r="J325" s="38">
        <f t="shared" si="88"/>
        <v>0</v>
      </c>
      <c r="K325" s="38">
        <v>0</v>
      </c>
      <c r="L325" s="38">
        <v>0</v>
      </c>
      <c r="M325" s="38">
        <f t="shared" si="89"/>
        <v>0</v>
      </c>
      <c r="N325" s="38">
        <v>1788</v>
      </c>
      <c r="O325" s="38">
        <v>0</v>
      </c>
      <c r="P325" s="38">
        <f t="shared" si="90"/>
        <v>-1788</v>
      </c>
      <c r="Q325" s="38">
        <v>0</v>
      </c>
      <c r="R325" s="38">
        <v>0</v>
      </c>
      <c r="S325" s="38">
        <f t="shared" si="91"/>
        <v>0</v>
      </c>
      <c r="T325" s="38">
        <v>0</v>
      </c>
      <c r="U325" s="38">
        <v>0</v>
      </c>
      <c r="V325" s="38">
        <f t="shared" si="92"/>
        <v>0</v>
      </c>
      <c r="W325" s="38">
        <v>0</v>
      </c>
      <c r="X325" s="38">
        <v>0</v>
      </c>
      <c r="Y325" s="38">
        <f t="shared" si="93"/>
        <v>0</v>
      </c>
      <c r="Z325" s="38">
        <v>0</v>
      </c>
      <c r="AA325" s="38">
        <v>0</v>
      </c>
      <c r="AB325" s="38">
        <f t="shared" si="94"/>
        <v>0</v>
      </c>
      <c r="AC325" s="38">
        <v>0</v>
      </c>
      <c r="AD325" s="38">
        <v>0</v>
      </c>
      <c r="AE325" s="38">
        <f t="shared" si="95"/>
        <v>0</v>
      </c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  <c r="GE325" s="25"/>
      <c r="GF325" s="25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</row>
    <row r="326" spans="1:255" ht="63" x14ac:dyDescent="0.25">
      <c r="A326" s="29" t="s">
        <v>300</v>
      </c>
      <c r="B326" s="36">
        <v>2</v>
      </c>
      <c r="C326" s="36">
        <v>759</v>
      </c>
      <c r="D326" s="36">
        <v>5219</v>
      </c>
      <c r="E326" s="38">
        <f t="shared" si="87"/>
        <v>30000</v>
      </c>
      <c r="F326" s="38">
        <f t="shared" si="87"/>
        <v>30000</v>
      </c>
      <c r="G326" s="38">
        <f t="shared" si="87"/>
        <v>0</v>
      </c>
      <c r="H326" s="38">
        <v>0</v>
      </c>
      <c r="I326" s="38">
        <v>0</v>
      </c>
      <c r="J326" s="38">
        <f t="shared" si="88"/>
        <v>0</v>
      </c>
      <c r="K326" s="38">
        <v>0</v>
      </c>
      <c r="L326" s="38">
        <v>0</v>
      </c>
      <c r="M326" s="38">
        <f t="shared" si="89"/>
        <v>0</v>
      </c>
      <c r="N326" s="38">
        <v>30000</v>
      </c>
      <c r="O326" s="38">
        <v>30000</v>
      </c>
      <c r="P326" s="38">
        <f t="shared" si="90"/>
        <v>0</v>
      </c>
      <c r="Q326" s="38">
        <v>0</v>
      </c>
      <c r="R326" s="38">
        <v>0</v>
      </c>
      <c r="S326" s="38">
        <f t="shared" si="91"/>
        <v>0</v>
      </c>
      <c r="T326" s="38">
        <v>0</v>
      </c>
      <c r="U326" s="38">
        <v>0</v>
      </c>
      <c r="V326" s="38">
        <f t="shared" si="92"/>
        <v>0</v>
      </c>
      <c r="W326" s="38">
        <v>0</v>
      </c>
      <c r="X326" s="38">
        <v>0</v>
      </c>
      <c r="Y326" s="38">
        <f t="shared" si="93"/>
        <v>0</v>
      </c>
      <c r="Z326" s="38">
        <v>0</v>
      </c>
      <c r="AA326" s="38">
        <v>0</v>
      </c>
      <c r="AB326" s="38">
        <f t="shared" si="94"/>
        <v>0</v>
      </c>
      <c r="AC326" s="38">
        <v>0</v>
      </c>
      <c r="AD326" s="38">
        <v>0</v>
      </c>
      <c r="AE326" s="38">
        <f t="shared" si="95"/>
        <v>0</v>
      </c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25"/>
      <c r="FN326" s="25"/>
      <c r="FO326" s="25"/>
      <c r="FP326" s="25"/>
      <c r="FQ326" s="25"/>
      <c r="FR326" s="25"/>
      <c r="FS326" s="25"/>
      <c r="FT326" s="25"/>
      <c r="FU326" s="25"/>
      <c r="FV326" s="25"/>
      <c r="FW326" s="25"/>
      <c r="FX326" s="25"/>
      <c r="FY326" s="25"/>
      <c r="FZ326" s="25"/>
      <c r="GA326" s="25"/>
      <c r="GB326" s="25"/>
      <c r="GC326" s="25"/>
      <c r="GD326" s="25"/>
      <c r="GE326" s="25"/>
      <c r="GF326" s="25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</row>
    <row r="327" spans="1:255" x14ac:dyDescent="0.25">
      <c r="A327" s="26" t="s">
        <v>104</v>
      </c>
      <c r="B327" s="34"/>
      <c r="C327" s="34"/>
      <c r="D327" s="34"/>
      <c r="E327" s="27">
        <f t="shared" si="87"/>
        <v>2164059</v>
      </c>
      <c r="F327" s="27">
        <f t="shared" si="87"/>
        <v>2168827</v>
      </c>
      <c r="G327" s="27">
        <f t="shared" si="87"/>
        <v>4768</v>
      </c>
      <c r="H327" s="27">
        <f>SUM(H328,H330,H335,H339)</f>
        <v>615143</v>
      </c>
      <c r="I327" s="27">
        <f>SUM(I328,I330,I335,I339)</f>
        <v>615143</v>
      </c>
      <c r="J327" s="27">
        <f t="shared" si="88"/>
        <v>0</v>
      </c>
      <c r="K327" s="27">
        <f>SUM(K328,K330,K335,K339)</f>
        <v>0</v>
      </c>
      <c r="L327" s="27">
        <f>SUM(L328,L330,L335,L339)</f>
        <v>0</v>
      </c>
      <c r="M327" s="27">
        <f t="shared" si="89"/>
        <v>0</v>
      </c>
      <c r="N327" s="27">
        <f>SUM(N328,N330,N335,N339)</f>
        <v>182804</v>
      </c>
      <c r="O327" s="27">
        <f>SUM(O328,O330,O335,O339)</f>
        <v>187572</v>
      </c>
      <c r="P327" s="27">
        <f t="shared" si="90"/>
        <v>4768</v>
      </c>
      <c r="Q327" s="27">
        <f>SUM(Q328,Q330,Q335,Q339)</f>
        <v>1366112</v>
      </c>
      <c r="R327" s="27">
        <f>SUM(R328,R330,R335,R339)</f>
        <v>1366112</v>
      </c>
      <c r="S327" s="27">
        <f t="shared" si="91"/>
        <v>0</v>
      </c>
      <c r="T327" s="27">
        <f>SUM(T328,T330,T335,T339)</f>
        <v>0</v>
      </c>
      <c r="U327" s="27">
        <f>SUM(U328,U330,U335,U339)</f>
        <v>0</v>
      </c>
      <c r="V327" s="27">
        <f t="shared" si="92"/>
        <v>0</v>
      </c>
      <c r="W327" s="27">
        <f>SUM(W328,W330,W335,W339)</f>
        <v>0</v>
      </c>
      <c r="X327" s="27">
        <f>SUM(X328,X330,X335,X339)</f>
        <v>0</v>
      </c>
      <c r="Y327" s="27">
        <f t="shared" si="93"/>
        <v>0</v>
      </c>
      <c r="Z327" s="27">
        <f>SUM(Z328,Z330,Z335,Z339)</f>
        <v>0</v>
      </c>
      <c r="AA327" s="27">
        <f>SUM(AA328,AA330,AA335,AA339)</f>
        <v>0</v>
      </c>
      <c r="AB327" s="27">
        <f t="shared" si="94"/>
        <v>0</v>
      </c>
      <c r="AC327" s="27">
        <f>SUM(AC328,AC330,AC335,AC339)</f>
        <v>0</v>
      </c>
      <c r="AD327" s="27">
        <f>SUM(AD328,AD330,AD335,AD339)</f>
        <v>0</v>
      </c>
      <c r="AE327" s="27">
        <f t="shared" si="95"/>
        <v>0</v>
      </c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25"/>
      <c r="FN327" s="25"/>
      <c r="FO327" s="25"/>
      <c r="FP327" s="25"/>
      <c r="FQ327" s="25"/>
      <c r="FR327" s="25"/>
      <c r="FS327" s="25"/>
      <c r="FT327" s="25"/>
      <c r="FU327" s="25"/>
      <c r="FV327" s="25"/>
      <c r="FW327" s="25"/>
      <c r="FX327" s="25"/>
      <c r="FY327" s="25"/>
      <c r="FZ327" s="25"/>
      <c r="GA327" s="25"/>
      <c r="GB327" s="25"/>
      <c r="GC327" s="25"/>
      <c r="GD327" s="25"/>
      <c r="GE327" s="25"/>
      <c r="GF327" s="25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</row>
    <row r="328" spans="1:255" x14ac:dyDescent="0.25">
      <c r="A328" s="26" t="s">
        <v>110</v>
      </c>
      <c r="B328" s="34"/>
      <c r="C328" s="34"/>
      <c r="D328" s="34"/>
      <c r="E328" s="27">
        <f t="shared" si="87"/>
        <v>3000</v>
      </c>
      <c r="F328" s="27">
        <f t="shared" si="87"/>
        <v>3000</v>
      </c>
      <c r="G328" s="27">
        <f t="shared" si="87"/>
        <v>0</v>
      </c>
      <c r="H328" s="27">
        <f>SUM(H329)</f>
        <v>0</v>
      </c>
      <c r="I328" s="27">
        <f>SUM(I329)</f>
        <v>0</v>
      </c>
      <c r="J328" s="27">
        <f t="shared" si="88"/>
        <v>0</v>
      </c>
      <c r="K328" s="27">
        <f>SUM(K329)</f>
        <v>0</v>
      </c>
      <c r="L328" s="27">
        <f>SUM(L329)</f>
        <v>0</v>
      </c>
      <c r="M328" s="27">
        <f t="shared" si="89"/>
        <v>0</v>
      </c>
      <c r="N328" s="27">
        <f>SUM(N329)</f>
        <v>3000</v>
      </c>
      <c r="O328" s="27">
        <f>SUM(O329)</f>
        <v>3000</v>
      </c>
      <c r="P328" s="27">
        <f t="shared" si="90"/>
        <v>0</v>
      </c>
      <c r="Q328" s="27">
        <f>SUM(Q329)</f>
        <v>0</v>
      </c>
      <c r="R328" s="27">
        <f>SUM(R329)</f>
        <v>0</v>
      </c>
      <c r="S328" s="27">
        <f t="shared" si="91"/>
        <v>0</v>
      </c>
      <c r="T328" s="27">
        <f>SUM(T329)</f>
        <v>0</v>
      </c>
      <c r="U328" s="27">
        <f>SUM(U329)</f>
        <v>0</v>
      </c>
      <c r="V328" s="27">
        <f t="shared" si="92"/>
        <v>0</v>
      </c>
      <c r="W328" s="27">
        <f>SUM(W329)</f>
        <v>0</v>
      </c>
      <c r="X328" s="27">
        <f>SUM(X329)</f>
        <v>0</v>
      </c>
      <c r="Y328" s="27">
        <f t="shared" si="93"/>
        <v>0</v>
      </c>
      <c r="Z328" s="27">
        <f>SUM(Z329)</f>
        <v>0</v>
      </c>
      <c r="AA328" s="27">
        <f>SUM(AA329)</f>
        <v>0</v>
      </c>
      <c r="AB328" s="27">
        <f t="shared" si="94"/>
        <v>0</v>
      </c>
      <c r="AC328" s="27">
        <f>SUM(AC329)</f>
        <v>0</v>
      </c>
      <c r="AD328" s="27">
        <f>SUM(AD329)</f>
        <v>0</v>
      </c>
      <c r="AE328" s="27">
        <f t="shared" si="95"/>
        <v>0</v>
      </c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5"/>
      <c r="FO328" s="25"/>
      <c r="FP328" s="25"/>
      <c r="FQ328" s="25"/>
      <c r="FR328" s="25"/>
      <c r="FS328" s="25"/>
      <c r="FT328" s="25"/>
      <c r="FU328" s="25"/>
      <c r="FV328" s="25"/>
      <c r="FW328" s="25"/>
      <c r="FX328" s="25"/>
      <c r="FY328" s="25"/>
      <c r="FZ328" s="25"/>
      <c r="GA328" s="25"/>
      <c r="GB328" s="25"/>
      <c r="GC328" s="25"/>
      <c r="GD328" s="25"/>
      <c r="GE328" s="25"/>
      <c r="GF328" s="25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</row>
    <row r="329" spans="1:255" ht="31.5" x14ac:dyDescent="0.25">
      <c r="A329" s="35" t="s">
        <v>301</v>
      </c>
      <c r="B329" s="36">
        <v>2</v>
      </c>
      <c r="C329" s="36">
        <v>898</v>
      </c>
      <c r="D329" s="36">
        <v>5201</v>
      </c>
      <c r="E329" s="38">
        <f t="shared" si="87"/>
        <v>3000</v>
      </c>
      <c r="F329" s="38">
        <f t="shared" si="87"/>
        <v>3000</v>
      </c>
      <c r="G329" s="38">
        <f t="shared" si="87"/>
        <v>0</v>
      </c>
      <c r="H329" s="38">
        <v>0</v>
      </c>
      <c r="I329" s="38">
        <v>0</v>
      </c>
      <c r="J329" s="38">
        <f t="shared" si="88"/>
        <v>0</v>
      </c>
      <c r="K329" s="38">
        <v>0</v>
      </c>
      <c r="L329" s="38">
        <v>0</v>
      </c>
      <c r="M329" s="38">
        <f t="shared" si="89"/>
        <v>0</v>
      </c>
      <c r="N329" s="38">
        <v>3000</v>
      </c>
      <c r="O329" s="38">
        <v>3000</v>
      </c>
      <c r="P329" s="38">
        <f t="shared" si="90"/>
        <v>0</v>
      </c>
      <c r="Q329" s="38">
        <v>0</v>
      </c>
      <c r="R329" s="38">
        <v>0</v>
      </c>
      <c r="S329" s="38">
        <f t="shared" si="91"/>
        <v>0</v>
      </c>
      <c r="T329" s="38">
        <v>0</v>
      </c>
      <c r="U329" s="38">
        <v>0</v>
      </c>
      <c r="V329" s="38">
        <f t="shared" si="92"/>
        <v>0</v>
      </c>
      <c r="W329" s="38">
        <v>0</v>
      </c>
      <c r="X329" s="38">
        <v>0</v>
      </c>
      <c r="Y329" s="38">
        <f t="shared" si="93"/>
        <v>0</v>
      </c>
      <c r="Z329" s="38">
        <v>0</v>
      </c>
      <c r="AA329" s="38">
        <v>0</v>
      </c>
      <c r="AB329" s="38">
        <f t="shared" si="94"/>
        <v>0</v>
      </c>
      <c r="AC329" s="38">
        <v>0</v>
      </c>
      <c r="AD329" s="38">
        <v>0</v>
      </c>
      <c r="AE329" s="38">
        <f t="shared" si="95"/>
        <v>0</v>
      </c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5"/>
      <c r="GA329" s="25"/>
      <c r="GB329" s="25"/>
      <c r="GC329" s="25"/>
      <c r="GD329" s="25"/>
      <c r="GE329" s="25"/>
      <c r="GF329" s="25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</row>
    <row r="330" spans="1:255" ht="31.5" x14ac:dyDescent="0.25">
      <c r="A330" s="26" t="s">
        <v>118</v>
      </c>
      <c r="B330" s="34"/>
      <c r="C330" s="34"/>
      <c r="D330" s="34"/>
      <c r="E330" s="27">
        <f t="shared" si="87"/>
        <v>606759</v>
      </c>
      <c r="F330" s="27">
        <f t="shared" si="87"/>
        <v>611527</v>
      </c>
      <c r="G330" s="27">
        <f t="shared" si="87"/>
        <v>4768</v>
      </c>
      <c r="H330" s="27">
        <f>SUM(H331:H334)</f>
        <v>113722</v>
      </c>
      <c r="I330" s="27">
        <f>SUM(I331:I334)</f>
        <v>113722</v>
      </c>
      <c r="J330" s="27">
        <f t="shared" si="88"/>
        <v>0</v>
      </c>
      <c r="K330" s="27">
        <f>SUM(K331:K334)</f>
        <v>0</v>
      </c>
      <c r="L330" s="27">
        <f>SUM(L331:L334)</f>
        <v>0</v>
      </c>
      <c r="M330" s="27">
        <f t="shared" si="89"/>
        <v>0</v>
      </c>
      <c r="N330" s="27">
        <f>SUM(N331:N334)</f>
        <v>38148</v>
      </c>
      <c r="O330" s="27">
        <f>SUM(O331:O334)</f>
        <v>42916</v>
      </c>
      <c r="P330" s="27">
        <f t="shared" si="90"/>
        <v>4768</v>
      </c>
      <c r="Q330" s="27">
        <f>SUM(Q331:Q334)</f>
        <v>454889</v>
      </c>
      <c r="R330" s="27">
        <f>SUM(R331:R334)</f>
        <v>454889</v>
      </c>
      <c r="S330" s="27">
        <f t="shared" si="91"/>
        <v>0</v>
      </c>
      <c r="T330" s="27">
        <f>SUM(T331:T334)</f>
        <v>0</v>
      </c>
      <c r="U330" s="27">
        <f>SUM(U331:U334)</f>
        <v>0</v>
      </c>
      <c r="V330" s="27">
        <f t="shared" si="92"/>
        <v>0</v>
      </c>
      <c r="W330" s="27">
        <f>SUM(W331:W334)</f>
        <v>0</v>
      </c>
      <c r="X330" s="27">
        <f>SUM(X331:X334)</f>
        <v>0</v>
      </c>
      <c r="Y330" s="27">
        <f t="shared" si="93"/>
        <v>0</v>
      </c>
      <c r="Z330" s="27">
        <f>SUM(Z331:Z334)</f>
        <v>0</v>
      </c>
      <c r="AA330" s="27">
        <f>SUM(AA331:AA334)</f>
        <v>0</v>
      </c>
      <c r="AB330" s="27">
        <f t="shared" si="94"/>
        <v>0</v>
      </c>
      <c r="AC330" s="27">
        <f>SUM(AC331:AC334)</f>
        <v>0</v>
      </c>
      <c r="AD330" s="27">
        <f>SUM(AD331:AD334)</f>
        <v>0</v>
      </c>
      <c r="AE330" s="27">
        <f t="shared" si="95"/>
        <v>0</v>
      </c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</row>
    <row r="331" spans="1:255" ht="78.75" x14ac:dyDescent="0.25">
      <c r="A331" s="35" t="s">
        <v>302</v>
      </c>
      <c r="B331" s="36">
        <v>2</v>
      </c>
      <c r="C331" s="36">
        <v>849</v>
      </c>
      <c r="D331" s="40">
        <v>5203</v>
      </c>
      <c r="E331" s="38">
        <f t="shared" si="87"/>
        <v>568611</v>
      </c>
      <c r="F331" s="38">
        <f t="shared" si="87"/>
        <v>568611</v>
      </c>
      <c r="G331" s="38">
        <f t="shared" si="87"/>
        <v>0</v>
      </c>
      <c r="H331" s="38">
        <v>113722</v>
      </c>
      <c r="I331" s="38">
        <v>113722</v>
      </c>
      <c r="J331" s="38">
        <f t="shared" si="88"/>
        <v>0</v>
      </c>
      <c r="K331" s="38">
        <v>0</v>
      </c>
      <c r="L331" s="38">
        <v>0</v>
      </c>
      <c r="M331" s="38">
        <f t="shared" si="89"/>
        <v>0</v>
      </c>
      <c r="N331" s="38">
        <v>0</v>
      </c>
      <c r="O331" s="38">
        <v>0</v>
      </c>
      <c r="P331" s="38">
        <f t="shared" si="90"/>
        <v>0</v>
      </c>
      <c r="Q331" s="38">
        <f>568611-113722</f>
        <v>454889</v>
      </c>
      <c r="R331" s="38">
        <f>568611-113722</f>
        <v>454889</v>
      </c>
      <c r="S331" s="38">
        <f t="shared" si="91"/>
        <v>0</v>
      </c>
      <c r="T331" s="38">
        <v>0</v>
      </c>
      <c r="U331" s="38">
        <v>0</v>
      </c>
      <c r="V331" s="38">
        <f t="shared" si="92"/>
        <v>0</v>
      </c>
      <c r="W331" s="38">
        <v>0</v>
      </c>
      <c r="X331" s="38">
        <v>0</v>
      </c>
      <c r="Y331" s="38">
        <f t="shared" si="93"/>
        <v>0</v>
      </c>
      <c r="Z331" s="38">
        <v>0</v>
      </c>
      <c r="AA331" s="38">
        <v>0</v>
      </c>
      <c r="AB331" s="38">
        <f t="shared" si="94"/>
        <v>0</v>
      </c>
      <c r="AC331" s="38">
        <v>0</v>
      </c>
      <c r="AD331" s="38">
        <v>0</v>
      </c>
      <c r="AE331" s="38">
        <f t="shared" si="95"/>
        <v>0</v>
      </c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</row>
    <row r="332" spans="1:255" ht="31.5" x14ac:dyDescent="0.25">
      <c r="A332" s="35" t="s">
        <v>303</v>
      </c>
      <c r="B332" s="36">
        <v>2</v>
      </c>
      <c r="C332" s="36">
        <v>849</v>
      </c>
      <c r="D332" s="36">
        <v>5203</v>
      </c>
      <c r="E332" s="38">
        <f t="shared" si="87"/>
        <v>35148</v>
      </c>
      <c r="F332" s="38">
        <f t="shared" si="87"/>
        <v>35148</v>
      </c>
      <c r="G332" s="38">
        <f t="shared" si="87"/>
        <v>0</v>
      </c>
      <c r="H332" s="38">
        <v>0</v>
      </c>
      <c r="I332" s="38">
        <v>0</v>
      </c>
      <c r="J332" s="38">
        <f t="shared" si="88"/>
        <v>0</v>
      </c>
      <c r="K332" s="38">
        <v>0</v>
      </c>
      <c r="L332" s="38">
        <v>0</v>
      </c>
      <c r="M332" s="38">
        <f t="shared" si="89"/>
        <v>0</v>
      </c>
      <c r="N332" s="38">
        <v>35148</v>
      </c>
      <c r="O332" s="38">
        <v>35148</v>
      </c>
      <c r="P332" s="38">
        <f t="shared" si="90"/>
        <v>0</v>
      </c>
      <c r="Q332" s="38">
        <v>0</v>
      </c>
      <c r="R332" s="38">
        <v>0</v>
      </c>
      <c r="S332" s="38">
        <f t="shared" si="91"/>
        <v>0</v>
      </c>
      <c r="T332" s="38">
        <v>0</v>
      </c>
      <c r="U332" s="38">
        <v>0</v>
      </c>
      <c r="V332" s="38">
        <f t="shared" si="92"/>
        <v>0</v>
      </c>
      <c r="W332" s="38">
        <v>0</v>
      </c>
      <c r="X332" s="38">
        <v>0</v>
      </c>
      <c r="Y332" s="38">
        <f t="shared" si="93"/>
        <v>0</v>
      </c>
      <c r="Z332" s="38">
        <v>0</v>
      </c>
      <c r="AA332" s="38">
        <v>0</v>
      </c>
      <c r="AB332" s="38">
        <f t="shared" si="94"/>
        <v>0</v>
      </c>
      <c r="AC332" s="38">
        <v>0</v>
      </c>
      <c r="AD332" s="38">
        <v>0</v>
      </c>
      <c r="AE332" s="38">
        <f t="shared" si="95"/>
        <v>0</v>
      </c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</row>
    <row r="333" spans="1:255" x14ac:dyDescent="0.25">
      <c r="A333" s="35" t="s">
        <v>304</v>
      </c>
      <c r="B333" s="36">
        <v>2</v>
      </c>
      <c r="C333" s="36">
        <v>898</v>
      </c>
      <c r="D333" s="36">
        <v>5203</v>
      </c>
      <c r="E333" s="38">
        <f t="shared" si="87"/>
        <v>0</v>
      </c>
      <c r="F333" s="38">
        <f t="shared" si="87"/>
        <v>4768</v>
      </c>
      <c r="G333" s="38">
        <f t="shared" si="87"/>
        <v>4768</v>
      </c>
      <c r="H333" s="38">
        <v>0</v>
      </c>
      <c r="I333" s="38">
        <v>0</v>
      </c>
      <c r="J333" s="38">
        <f t="shared" si="88"/>
        <v>0</v>
      </c>
      <c r="K333" s="38">
        <v>0</v>
      </c>
      <c r="L333" s="38">
        <v>0</v>
      </c>
      <c r="M333" s="38">
        <f t="shared" si="89"/>
        <v>0</v>
      </c>
      <c r="N333" s="38">
        <v>0</v>
      </c>
      <c r="O333" s="38">
        <v>4768</v>
      </c>
      <c r="P333" s="38">
        <f t="shared" si="90"/>
        <v>4768</v>
      </c>
      <c r="Q333" s="38">
        <v>0</v>
      </c>
      <c r="R333" s="38">
        <v>0</v>
      </c>
      <c r="S333" s="38">
        <f t="shared" si="91"/>
        <v>0</v>
      </c>
      <c r="T333" s="38">
        <v>0</v>
      </c>
      <c r="U333" s="38">
        <v>0</v>
      </c>
      <c r="V333" s="38">
        <f t="shared" si="92"/>
        <v>0</v>
      </c>
      <c r="W333" s="38">
        <v>0</v>
      </c>
      <c r="X333" s="38">
        <v>0</v>
      </c>
      <c r="Y333" s="38">
        <f t="shared" si="93"/>
        <v>0</v>
      </c>
      <c r="Z333" s="38">
        <v>0</v>
      </c>
      <c r="AA333" s="38">
        <v>0</v>
      </c>
      <c r="AB333" s="38">
        <f t="shared" si="94"/>
        <v>0</v>
      </c>
      <c r="AC333" s="38">
        <v>0</v>
      </c>
      <c r="AD333" s="38">
        <v>0</v>
      </c>
      <c r="AE333" s="38">
        <f t="shared" si="95"/>
        <v>0</v>
      </c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</row>
    <row r="334" spans="1:255" ht="31.5" x14ac:dyDescent="0.25">
      <c r="A334" s="35" t="s">
        <v>305</v>
      </c>
      <c r="B334" s="36">
        <v>2</v>
      </c>
      <c r="C334" s="36">
        <v>898</v>
      </c>
      <c r="D334" s="36">
        <v>5203</v>
      </c>
      <c r="E334" s="38">
        <f t="shared" si="87"/>
        <v>3000</v>
      </c>
      <c r="F334" s="38">
        <f t="shared" si="87"/>
        <v>3000</v>
      </c>
      <c r="G334" s="38">
        <f t="shared" si="87"/>
        <v>0</v>
      </c>
      <c r="H334" s="38">
        <v>0</v>
      </c>
      <c r="I334" s="38">
        <v>0</v>
      </c>
      <c r="J334" s="38">
        <f t="shared" si="88"/>
        <v>0</v>
      </c>
      <c r="K334" s="38">
        <v>0</v>
      </c>
      <c r="L334" s="38">
        <v>0</v>
      </c>
      <c r="M334" s="38">
        <f t="shared" si="89"/>
        <v>0</v>
      </c>
      <c r="N334" s="38">
        <v>3000</v>
      </c>
      <c r="O334" s="38">
        <v>3000</v>
      </c>
      <c r="P334" s="38">
        <f t="shared" si="90"/>
        <v>0</v>
      </c>
      <c r="Q334" s="38">
        <v>0</v>
      </c>
      <c r="R334" s="38">
        <v>0</v>
      </c>
      <c r="S334" s="38">
        <f t="shared" si="91"/>
        <v>0</v>
      </c>
      <c r="T334" s="38">
        <v>0</v>
      </c>
      <c r="U334" s="38">
        <v>0</v>
      </c>
      <c r="V334" s="38">
        <f t="shared" si="92"/>
        <v>0</v>
      </c>
      <c r="W334" s="38">
        <v>0</v>
      </c>
      <c r="X334" s="38">
        <v>0</v>
      </c>
      <c r="Y334" s="38">
        <f t="shared" si="93"/>
        <v>0</v>
      </c>
      <c r="Z334" s="38">
        <v>0</v>
      </c>
      <c r="AA334" s="38">
        <v>0</v>
      </c>
      <c r="AB334" s="38">
        <f t="shared" si="94"/>
        <v>0</v>
      </c>
      <c r="AC334" s="38">
        <v>0</v>
      </c>
      <c r="AD334" s="38">
        <v>0</v>
      </c>
      <c r="AE334" s="38">
        <f t="shared" si="95"/>
        <v>0</v>
      </c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</row>
    <row r="335" spans="1:255" x14ac:dyDescent="0.25">
      <c r="A335" s="26" t="s">
        <v>234</v>
      </c>
      <c r="B335" s="34"/>
      <c r="C335" s="34"/>
      <c r="D335" s="34"/>
      <c r="E335" s="27">
        <f t="shared" si="87"/>
        <v>219805</v>
      </c>
      <c r="F335" s="27">
        <f t="shared" si="87"/>
        <v>219805</v>
      </c>
      <c r="G335" s="27">
        <f t="shared" si="87"/>
        <v>0</v>
      </c>
      <c r="H335" s="27">
        <f>SUM(H336:H338)</f>
        <v>0</v>
      </c>
      <c r="I335" s="27">
        <f>SUM(I336:I338)</f>
        <v>0</v>
      </c>
      <c r="J335" s="27">
        <f t="shared" si="88"/>
        <v>0</v>
      </c>
      <c r="K335" s="27">
        <f>SUM(K336:K338)</f>
        <v>0</v>
      </c>
      <c r="L335" s="27">
        <f>SUM(L336:L338)</f>
        <v>0</v>
      </c>
      <c r="M335" s="27">
        <f t="shared" si="89"/>
        <v>0</v>
      </c>
      <c r="N335" s="27">
        <f>SUM(N336:N338)</f>
        <v>141656</v>
      </c>
      <c r="O335" s="27">
        <f>SUM(O336:O338)</f>
        <v>141656</v>
      </c>
      <c r="P335" s="27">
        <f t="shared" si="90"/>
        <v>0</v>
      </c>
      <c r="Q335" s="27">
        <f>SUM(Q336:Q338)</f>
        <v>78149</v>
      </c>
      <c r="R335" s="27">
        <f>SUM(R336:R338)</f>
        <v>78149</v>
      </c>
      <c r="S335" s="27">
        <f t="shared" si="91"/>
        <v>0</v>
      </c>
      <c r="T335" s="27">
        <f>SUM(T336:T338)</f>
        <v>0</v>
      </c>
      <c r="U335" s="27">
        <f>SUM(U336:U338)</f>
        <v>0</v>
      </c>
      <c r="V335" s="27">
        <f t="shared" si="92"/>
        <v>0</v>
      </c>
      <c r="W335" s="27">
        <f>SUM(W336:W338)</f>
        <v>0</v>
      </c>
      <c r="X335" s="27">
        <f>SUM(X336:X338)</f>
        <v>0</v>
      </c>
      <c r="Y335" s="27">
        <f t="shared" si="93"/>
        <v>0</v>
      </c>
      <c r="Z335" s="27">
        <f>SUM(Z336:Z338)</f>
        <v>0</v>
      </c>
      <c r="AA335" s="27">
        <f>SUM(AA336:AA338)</f>
        <v>0</v>
      </c>
      <c r="AB335" s="27">
        <f t="shared" si="94"/>
        <v>0</v>
      </c>
      <c r="AC335" s="27">
        <f>SUM(AC336:AC338)</f>
        <v>0</v>
      </c>
      <c r="AD335" s="27">
        <f>SUM(AD336:AD338)</f>
        <v>0</v>
      </c>
      <c r="AE335" s="27">
        <f t="shared" si="95"/>
        <v>0</v>
      </c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</row>
    <row r="336" spans="1:255" ht="94.5" x14ac:dyDescent="0.25">
      <c r="A336" s="35" t="s">
        <v>306</v>
      </c>
      <c r="B336" s="36"/>
      <c r="C336" s="36"/>
      <c r="D336" s="40"/>
      <c r="E336" s="38">
        <f t="shared" si="87"/>
        <v>78149</v>
      </c>
      <c r="F336" s="38">
        <f t="shared" si="87"/>
        <v>78149</v>
      </c>
      <c r="G336" s="38">
        <f t="shared" si="87"/>
        <v>0</v>
      </c>
      <c r="H336" s="38">
        <v>0</v>
      </c>
      <c r="I336" s="38">
        <v>0</v>
      </c>
      <c r="J336" s="38">
        <f t="shared" si="88"/>
        <v>0</v>
      </c>
      <c r="K336" s="38">
        <v>0</v>
      </c>
      <c r="L336" s="38">
        <v>0</v>
      </c>
      <c r="M336" s="38">
        <f t="shared" si="89"/>
        <v>0</v>
      </c>
      <c r="N336" s="38">
        <v>0</v>
      </c>
      <c r="O336" s="38">
        <v>0</v>
      </c>
      <c r="P336" s="38">
        <f t="shared" si="90"/>
        <v>0</v>
      </c>
      <c r="Q336" s="38">
        <v>78149</v>
      </c>
      <c r="R336" s="38">
        <v>78149</v>
      </c>
      <c r="S336" s="38">
        <f t="shared" si="91"/>
        <v>0</v>
      </c>
      <c r="T336" s="38">
        <v>0</v>
      </c>
      <c r="U336" s="38">
        <v>0</v>
      </c>
      <c r="V336" s="38">
        <f t="shared" si="92"/>
        <v>0</v>
      </c>
      <c r="W336" s="38">
        <v>0</v>
      </c>
      <c r="X336" s="38">
        <v>0</v>
      </c>
      <c r="Y336" s="38">
        <f t="shared" si="93"/>
        <v>0</v>
      </c>
      <c r="Z336" s="38">
        <v>0</v>
      </c>
      <c r="AA336" s="38">
        <v>0</v>
      </c>
      <c r="AB336" s="38">
        <f t="shared" si="94"/>
        <v>0</v>
      </c>
      <c r="AC336" s="38">
        <v>0</v>
      </c>
      <c r="AD336" s="38">
        <v>0</v>
      </c>
      <c r="AE336" s="38">
        <f t="shared" si="95"/>
        <v>0</v>
      </c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</row>
    <row r="337" spans="1:255" ht="31.5" x14ac:dyDescent="0.25">
      <c r="A337" s="35" t="s">
        <v>307</v>
      </c>
      <c r="B337" s="36">
        <v>2</v>
      </c>
      <c r="C337" s="36">
        <v>849</v>
      </c>
      <c r="D337" s="36">
        <v>5206</v>
      </c>
      <c r="E337" s="38">
        <f t="shared" si="87"/>
        <v>61656</v>
      </c>
      <c r="F337" s="38">
        <f t="shared" si="87"/>
        <v>61656</v>
      </c>
      <c r="G337" s="38">
        <f t="shared" si="87"/>
        <v>0</v>
      </c>
      <c r="H337" s="38">
        <v>0</v>
      </c>
      <c r="I337" s="38">
        <v>0</v>
      </c>
      <c r="J337" s="38">
        <f t="shared" si="88"/>
        <v>0</v>
      </c>
      <c r="K337" s="38">
        <v>0</v>
      </c>
      <c r="L337" s="38">
        <v>0</v>
      </c>
      <c r="M337" s="38">
        <f t="shared" si="89"/>
        <v>0</v>
      </c>
      <c r="N337" s="38">
        <v>61656</v>
      </c>
      <c r="O337" s="38">
        <v>61656</v>
      </c>
      <c r="P337" s="38">
        <f t="shared" si="90"/>
        <v>0</v>
      </c>
      <c r="Q337" s="38">
        <v>0</v>
      </c>
      <c r="R337" s="38">
        <v>0</v>
      </c>
      <c r="S337" s="38">
        <f t="shared" si="91"/>
        <v>0</v>
      </c>
      <c r="T337" s="38">
        <v>0</v>
      </c>
      <c r="U337" s="38">
        <v>0</v>
      </c>
      <c r="V337" s="38">
        <f t="shared" si="92"/>
        <v>0</v>
      </c>
      <c r="W337" s="38">
        <v>0</v>
      </c>
      <c r="X337" s="38">
        <v>0</v>
      </c>
      <c r="Y337" s="38">
        <f t="shared" si="93"/>
        <v>0</v>
      </c>
      <c r="Z337" s="38">
        <v>0</v>
      </c>
      <c r="AA337" s="38">
        <v>0</v>
      </c>
      <c r="AB337" s="38">
        <f t="shared" si="94"/>
        <v>0</v>
      </c>
      <c r="AC337" s="38">
        <v>0</v>
      </c>
      <c r="AD337" s="38">
        <v>0</v>
      </c>
      <c r="AE337" s="38">
        <f t="shared" si="95"/>
        <v>0</v>
      </c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</row>
    <row r="338" spans="1:255" ht="31.5" x14ac:dyDescent="0.25">
      <c r="A338" s="35" t="s">
        <v>308</v>
      </c>
      <c r="B338" s="36">
        <v>2</v>
      </c>
      <c r="C338" s="36">
        <v>849</v>
      </c>
      <c r="D338" s="40">
        <v>5206</v>
      </c>
      <c r="E338" s="38">
        <f t="shared" si="87"/>
        <v>80000</v>
      </c>
      <c r="F338" s="38">
        <f t="shared" si="87"/>
        <v>80000</v>
      </c>
      <c r="G338" s="38">
        <f t="shared" si="87"/>
        <v>0</v>
      </c>
      <c r="H338" s="38">
        <v>0</v>
      </c>
      <c r="I338" s="38">
        <v>0</v>
      </c>
      <c r="J338" s="38">
        <f t="shared" si="88"/>
        <v>0</v>
      </c>
      <c r="K338" s="38">
        <v>0</v>
      </c>
      <c r="L338" s="38">
        <v>0</v>
      </c>
      <c r="M338" s="38">
        <f t="shared" si="89"/>
        <v>0</v>
      </c>
      <c r="N338" s="38">
        <v>80000</v>
      </c>
      <c r="O338" s="38">
        <v>80000</v>
      </c>
      <c r="P338" s="38">
        <f t="shared" si="90"/>
        <v>0</v>
      </c>
      <c r="Q338" s="38">
        <v>0</v>
      </c>
      <c r="R338" s="38">
        <v>0</v>
      </c>
      <c r="S338" s="38">
        <f t="shared" si="91"/>
        <v>0</v>
      </c>
      <c r="T338" s="38">
        <v>0</v>
      </c>
      <c r="U338" s="38">
        <v>0</v>
      </c>
      <c r="V338" s="38">
        <f t="shared" si="92"/>
        <v>0</v>
      </c>
      <c r="W338" s="38">
        <v>0</v>
      </c>
      <c r="X338" s="38">
        <v>0</v>
      </c>
      <c r="Y338" s="38">
        <f t="shared" si="93"/>
        <v>0</v>
      </c>
      <c r="Z338" s="38">
        <v>0</v>
      </c>
      <c r="AA338" s="38">
        <v>0</v>
      </c>
      <c r="AB338" s="38">
        <f t="shared" si="94"/>
        <v>0</v>
      </c>
      <c r="AC338" s="38">
        <v>0</v>
      </c>
      <c r="AD338" s="38">
        <v>0</v>
      </c>
      <c r="AE338" s="38">
        <f t="shared" si="95"/>
        <v>0</v>
      </c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</row>
    <row r="339" spans="1:255" x14ac:dyDescent="0.25">
      <c r="A339" s="26" t="s">
        <v>174</v>
      </c>
      <c r="B339" s="34"/>
      <c r="C339" s="34"/>
      <c r="D339" s="34"/>
      <c r="E339" s="27">
        <f t="shared" si="87"/>
        <v>1334495</v>
      </c>
      <c r="F339" s="27">
        <f t="shared" si="87"/>
        <v>1334495</v>
      </c>
      <c r="G339" s="27">
        <f t="shared" si="87"/>
        <v>0</v>
      </c>
      <c r="H339" s="27">
        <f>SUM(H340:H341)</f>
        <v>501421</v>
      </c>
      <c r="I339" s="27">
        <f>SUM(I340:I341)</f>
        <v>501421</v>
      </c>
      <c r="J339" s="27">
        <f t="shared" si="88"/>
        <v>0</v>
      </c>
      <c r="K339" s="27">
        <f>SUM(K340:K341)</f>
        <v>0</v>
      </c>
      <c r="L339" s="27">
        <f>SUM(L340:L341)</f>
        <v>0</v>
      </c>
      <c r="M339" s="27">
        <f t="shared" si="89"/>
        <v>0</v>
      </c>
      <c r="N339" s="27">
        <f>SUM(N340:N341)</f>
        <v>0</v>
      </c>
      <c r="O339" s="27">
        <f>SUM(O340:O341)</f>
        <v>0</v>
      </c>
      <c r="P339" s="27">
        <f t="shared" si="90"/>
        <v>0</v>
      </c>
      <c r="Q339" s="27">
        <f>SUM(Q340:Q341)</f>
        <v>833074</v>
      </c>
      <c r="R339" s="27">
        <f>SUM(R340:R341)</f>
        <v>833074</v>
      </c>
      <c r="S339" s="27">
        <f t="shared" si="91"/>
        <v>0</v>
      </c>
      <c r="T339" s="27">
        <f>SUM(T340:T341)</f>
        <v>0</v>
      </c>
      <c r="U339" s="27">
        <f>SUM(U340:U341)</f>
        <v>0</v>
      </c>
      <c r="V339" s="27">
        <f t="shared" si="92"/>
        <v>0</v>
      </c>
      <c r="W339" s="27">
        <f>SUM(W340:W341)</f>
        <v>0</v>
      </c>
      <c r="X339" s="27">
        <f>SUM(X340:X341)</f>
        <v>0</v>
      </c>
      <c r="Y339" s="27">
        <f t="shared" si="93"/>
        <v>0</v>
      </c>
      <c r="Z339" s="27">
        <f>SUM(Z340:Z341)</f>
        <v>0</v>
      </c>
      <c r="AA339" s="27">
        <f>SUM(AA340:AA341)</f>
        <v>0</v>
      </c>
      <c r="AB339" s="27">
        <f t="shared" si="94"/>
        <v>0</v>
      </c>
      <c r="AC339" s="27">
        <f>SUM(AC340:AC341)</f>
        <v>0</v>
      </c>
      <c r="AD339" s="27">
        <f>SUM(AD340:AD341)</f>
        <v>0</v>
      </c>
      <c r="AE339" s="27">
        <f t="shared" si="95"/>
        <v>0</v>
      </c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M339" s="25"/>
      <c r="EN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</row>
    <row r="340" spans="1:255" ht="63" x14ac:dyDescent="0.25">
      <c r="A340" s="35" t="s">
        <v>309</v>
      </c>
      <c r="B340" s="36">
        <v>2</v>
      </c>
      <c r="C340" s="36">
        <v>849</v>
      </c>
      <c r="D340" s="40">
        <v>5219</v>
      </c>
      <c r="E340" s="38">
        <f t="shared" ref="E340:G366" si="109">H340+K340+N340+Q340+T340+W340+Z340+AC340</f>
        <v>260660</v>
      </c>
      <c r="F340" s="38">
        <f t="shared" si="109"/>
        <v>260660</v>
      </c>
      <c r="G340" s="38">
        <f t="shared" si="109"/>
        <v>0</v>
      </c>
      <c r="H340" s="38">
        <v>47615</v>
      </c>
      <c r="I340" s="38">
        <v>47615</v>
      </c>
      <c r="J340" s="38">
        <f t="shared" ref="J340:J366" si="110">I340-H340</f>
        <v>0</v>
      </c>
      <c r="K340" s="38">
        <v>0</v>
      </c>
      <c r="L340" s="38">
        <v>0</v>
      </c>
      <c r="M340" s="38">
        <f t="shared" ref="M340:M366" si="111">L340-K340</f>
        <v>0</v>
      </c>
      <c r="N340" s="38">
        <v>0</v>
      </c>
      <c r="O340" s="38">
        <v>0</v>
      </c>
      <c r="P340" s="38">
        <f t="shared" ref="P340:P366" si="112">O340-N340</f>
        <v>0</v>
      </c>
      <c r="Q340" s="38">
        <f>260660-47615</f>
        <v>213045</v>
      </c>
      <c r="R340" s="38">
        <f>260660-47615</f>
        <v>213045</v>
      </c>
      <c r="S340" s="38">
        <f t="shared" ref="S340:S366" si="113">R340-Q340</f>
        <v>0</v>
      </c>
      <c r="T340" s="38">
        <v>0</v>
      </c>
      <c r="U340" s="38">
        <v>0</v>
      </c>
      <c r="V340" s="38">
        <f t="shared" ref="V340:V366" si="114">U340-T340</f>
        <v>0</v>
      </c>
      <c r="W340" s="38">
        <v>0</v>
      </c>
      <c r="X340" s="38">
        <v>0</v>
      </c>
      <c r="Y340" s="38">
        <f t="shared" ref="Y340:Y366" si="115">X340-W340</f>
        <v>0</v>
      </c>
      <c r="Z340" s="38">
        <v>0</v>
      </c>
      <c r="AA340" s="38">
        <v>0</v>
      </c>
      <c r="AB340" s="38">
        <f t="shared" ref="AB340:AB366" si="116">AA340-Z340</f>
        <v>0</v>
      </c>
      <c r="AC340" s="38">
        <v>0</v>
      </c>
      <c r="AD340" s="38">
        <v>0</v>
      </c>
      <c r="AE340" s="38">
        <f t="shared" ref="AE340:AE366" si="117">AD340-AC340</f>
        <v>0</v>
      </c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</row>
    <row r="341" spans="1:255" ht="78.75" x14ac:dyDescent="0.25">
      <c r="A341" s="35" t="s">
        <v>310</v>
      </c>
      <c r="B341" s="36">
        <v>2</v>
      </c>
      <c r="C341" s="36">
        <v>849</v>
      </c>
      <c r="D341" s="40">
        <v>5219</v>
      </c>
      <c r="E341" s="38">
        <f t="shared" si="109"/>
        <v>1073835</v>
      </c>
      <c r="F341" s="38">
        <f t="shared" si="109"/>
        <v>1073835</v>
      </c>
      <c r="G341" s="38">
        <f t="shared" si="109"/>
        <v>0</v>
      </c>
      <c r="H341" s="38">
        <v>453806</v>
      </c>
      <c r="I341" s="38">
        <v>453806</v>
      </c>
      <c r="J341" s="38">
        <f t="shared" si="110"/>
        <v>0</v>
      </c>
      <c r="K341" s="38">
        <v>0</v>
      </c>
      <c r="L341" s="38">
        <v>0</v>
      </c>
      <c r="M341" s="38">
        <f t="shared" si="111"/>
        <v>0</v>
      </c>
      <c r="N341" s="38">
        <v>0</v>
      </c>
      <c r="O341" s="38">
        <v>0</v>
      </c>
      <c r="P341" s="38">
        <f t="shared" si="112"/>
        <v>0</v>
      </c>
      <c r="Q341" s="38">
        <f>1073835-453806</f>
        <v>620029</v>
      </c>
      <c r="R341" s="38">
        <f>1073835-453806</f>
        <v>620029</v>
      </c>
      <c r="S341" s="38">
        <f t="shared" si="113"/>
        <v>0</v>
      </c>
      <c r="T341" s="38">
        <v>0</v>
      </c>
      <c r="U341" s="38">
        <v>0</v>
      </c>
      <c r="V341" s="38">
        <f t="shared" si="114"/>
        <v>0</v>
      </c>
      <c r="W341" s="38">
        <v>0</v>
      </c>
      <c r="X341" s="38">
        <v>0</v>
      </c>
      <c r="Y341" s="38">
        <f t="shared" si="115"/>
        <v>0</v>
      </c>
      <c r="Z341" s="38">
        <v>0</v>
      </c>
      <c r="AA341" s="38">
        <v>0</v>
      </c>
      <c r="AB341" s="38">
        <f t="shared" si="116"/>
        <v>0</v>
      </c>
      <c r="AC341" s="38">
        <v>0</v>
      </c>
      <c r="AD341" s="38">
        <v>0</v>
      </c>
      <c r="AE341" s="38">
        <f t="shared" si="117"/>
        <v>0</v>
      </c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</row>
    <row r="342" spans="1:255" x14ac:dyDescent="0.25">
      <c r="A342" s="26" t="s">
        <v>311</v>
      </c>
      <c r="B342" s="34"/>
      <c r="C342" s="34"/>
      <c r="D342" s="34"/>
      <c r="E342" s="27">
        <f t="shared" si="109"/>
        <v>164434</v>
      </c>
      <c r="F342" s="27">
        <f t="shared" si="109"/>
        <v>129634</v>
      </c>
      <c r="G342" s="27">
        <f t="shared" si="109"/>
        <v>-34800</v>
      </c>
      <c r="H342" s="27">
        <f>SUM(H343,H348,H352,H360)</f>
        <v>0</v>
      </c>
      <c r="I342" s="27">
        <f>SUM(I343,I348,I352,I360)</f>
        <v>0</v>
      </c>
      <c r="J342" s="27">
        <f t="shared" si="110"/>
        <v>0</v>
      </c>
      <c r="K342" s="27">
        <f t="shared" ref="K342:L342" si="118">SUM(K343,K348,K352,K360)</f>
        <v>0</v>
      </c>
      <c r="L342" s="27">
        <f t="shared" si="118"/>
        <v>0</v>
      </c>
      <c r="M342" s="27">
        <f t="shared" si="111"/>
        <v>0</v>
      </c>
      <c r="N342" s="27">
        <f t="shared" ref="N342:O342" si="119">SUM(N343,N348,N352,N360)</f>
        <v>163104</v>
      </c>
      <c r="O342" s="27">
        <f t="shared" si="119"/>
        <v>128304</v>
      </c>
      <c r="P342" s="27">
        <f t="shared" si="112"/>
        <v>-34800</v>
      </c>
      <c r="Q342" s="27">
        <f t="shared" ref="Q342:R342" si="120">SUM(Q343,Q348,Q352,Q360)</f>
        <v>0</v>
      </c>
      <c r="R342" s="27">
        <f t="shared" si="120"/>
        <v>0</v>
      </c>
      <c r="S342" s="27">
        <f t="shared" si="113"/>
        <v>0</v>
      </c>
      <c r="T342" s="27">
        <f t="shared" ref="T342:U342" si="121">SUM(T343,T348,T352,T360)</f>
        <v>1330</v>
      </c>
      <c r="U342" s="27">
        <f t="shared" si="121"/>
        <v>1330</v>
      </c>
      <c r="V342" s="27">
        <f t="shared" si="114"/>
        <v>0</v>
      </c>
      <c r="W342" s="27">
        <f t="shared" ref="W342:X342" si="122">SUM(W343,W348,W352,W360)</f>
        <v>0</v>
      </c>
      <c r="X342" s="27">
        <f t="shared" si="122"/>
        <v>0</v>
      </c>
      <c r="Y342" s="27">
        <f t="shared" si="115"/>
        <v>0</v>
      </c>
      <c r="Z342" s="27">
        <f t="shared" ref="Z342:AA342" si="123">SUM(Z343,Z348,Z352,Z360)</f>
        <v>0</v>
      </c>
      <c r="AA342" s="27">
        <f t="shared" si="123"/>
        <v>0</v>
      </c>
      <c r="AB342" s="27">
        <f t="shared" si="116"/>
        <v>0</v>
      </c>
      <c r="AC342" s="27">
        <f t="shared" ref="AC342:AD342" si="124">SUM(AC343,AC348,AC352,AC360)</f>
        <v>0</v>
      </c>
      <c r="AD342" s="27">
        <f t="shared" si="124"/>
        <v>0</v>
      </c>
      <c r="AE342" s="27">
        <f t="shared" si="117"/>
        <v>0</v>
      </c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25"/>
      <c r="HR342" s="25"/>
      <c r="HS342" s="25"/>
      <c r="HT342" s="25"/>
      <c r="HU342" s="25"/>
      <c r="HV342" s="25"/>
      <c r="HW342" s="25"/>
      <c r="HX342" s="25"/>
      <c r="HY342" s="25"/>
      <c r="HZ342" s="25"/>
      <c r="IA342" s="25"/>
      <c r="IB342" s="25"/>
      <c r="IC342" s="25"/>
      <c r="ID342" s="25"/>
      <c r="IE342" s="25"/>
      <c r="IF342" s="25"/>
      <c r="IG342" s="25"/>
      <c r="IH342" s="25"/>
      <c r="II342" s="25"/>
      <c r="IJ342" s="25"/>
      <c r="IK342" s="25"/>
      <c r="IL342" s="25"/>
      <c r="IM342" s="25"/>
      <c r="IN342" s="25"/>
      <c r="IO342" s="25"/>
      <c r="IP342" s="25"/>
      <c r="IQ342" s="25"/>
      <c r="IR342" s="25"/>
      <c r="IS342" s="25"/>
      <c r="IT342" s="25"/>
      <c r="IU342" s="25"/>
    </row>
    <row r="343" spans="1:255" x14ac:dyDescent="0.25">
      <c r="A343" s="26" t="s">
        <v>19</v>
      </c>
      <c r="B343" s="34"/>
      <c r="C343" s="34"/>
      <c r="D343" s="34"/>
      <c r="E343" s="27">
        <f t="shared" si="109"/>
        <v>111240</v>
      </c>
      <c r="F343" s="27">
        <f t="shared" si="109"/>
        <v>76440</v>
      </c>
      <c r="G343" s="27">
        <f t="shared" si="109"/>
        <v>-34800</v>
      </c>
      <c r="H343" s="27">
        <f>SUM(H344)</f>
        <v>0</v>
      </c>
      <c r="I343" s="27">
        <f>SUM(I344)</f>
        <v>0</v>
      </c>
      <c r="J343" s="27">
        <f t="shared" si="110"/>
        <v>0</v>
      </c>
      <c r="K343" s="27">
        <f>SUM(K344)</f>
        <v>0</v>
      </c>
      <c r="L343" s="27">
        <f>SUM(L344)</f>
        <v>0</v>
      </c>
      <c r="M343" s="27">
        <f t="shared" si="111"/>
        <v>0</v>
      </c>
      <c r="N343" s="27">
        <f>SUM(N344)</f>
        <v>111240</v>
      </c>
      <c r="O343" s="27">
        <f>SUM(O344)</f>
        <v>76440</v>
      </c>
      <c r="P343" s="27">
        <f t="shared" si="112"/>
        <v>-34800</v>
      </c>
      <c r="Q343" s="27">
        <f>SUM(Q344)</f>
        <v>0</v>
      </c>
      <c r="R343" s="27">
        <f>SUM(R344)</f>
        <v>0</v>
      </c>
      <c r="S343" s="27">
        <f t="shared" si="113"/>
        <v>0</v>
      </c>
      <c r="T343" s="27">
        <f>SUM(T344)</f>
        <v>0</v>
      </c>
      <c r="U343" s="27">
        <f>SUM(U344)</f>
        <v>0</v>
      </c>
      <c r="V343" s="27">
        <f t="shared" si="114"/>
        <v>0</v>
      </c>
      <c r="W343" s="27">
        <f>SUM(W344)</f>
        <v>0</v>
      </c>
      <c r="X343" s="27">
        <f>SUM(X344)</f>
        <v>0</v>
      </c>
      <c r="Y343" s="27">
        <f t="shared" si="115"/>
        <v>0</v>
      </c>
      <c r="Z343" s="27">
        <f>SUM(Z344)</f>
        <v>0</v>
      </c>
      <c r="AA343" s="27">
        <f>SUM(AA344)</f>
        <v>0</v>
      </c>
      <c r="AB343" s="27">
        <f t="shared" si="116"/>
        <v>0</v>
      </c>
      <c r="AC343" s="27">
        <f>SUM(AC344)</f>
        <v>0</v>
      </c>
      <c r="AD343" s="27">
        <f>SUM(AD344)</f>
        <v>0</v>
      </c>
      <c r="AE343" s="27">
        <f t="shared" si="117"/>
        <v>0</v>
      </c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</row>
    <row r="344" spans="1:255" ht="31.5" x14ac:dyDescent="0.25">
      <c r="A344" s="26" t="s">
        <v>312</v>
      </c>
      <c r="B344" s="34"/>
      <c r="C344" s="34"/>
      <c r="D344" s="34"/>
      <c r="E344" s="27">
        <f t="shared" si="109"/>
        <v>111240</v>
      </c>
      <c r="F344" s="27">
        <f t="shared" si="109"/>
        <v>76440</v>
      </c>
      <c r="G344" s="27">
        <f t="shared" si="109"/>
        <v>-34800</v>
      </c>
      <c r="H344" s="27">
        <f>SUM(H345:H347)</f>
        <v>0</v>
      </c>
      <c r="I344" s="27">
        <f>SUM(I345:I347)</f>
        <v>0</v>
      </c>
      <c r="J344" s="27">
        <f t="shared" si="110"/>
        <v>0</v>
      </c>
      <c r="K344" s="27">
        <f>SUM(K345:K347)</f>
        <v>0</v>
      </c>
      <c r="L344" s="27">
        <f>SUM(L345:L347)</f>
        <v>0</v>
      </c>
      <c r="M344" s="27">
        <f t="shared" si="111"/>
        <v>0</v>
      </c>
      <c r="N344" s="27">
        <f>SUM(N345:N347)</f>
        <v>111240</v>
      </c>
      <c r="O344" s="27">
        <f>SUM(O345:O347)</f>
        <v>76440</v>
      </c>
      <c r="P344" s="27">
        <f t="shared" si="112"/>
        <v>-34800</v>
      </c>
      <c r="Q344" s="27">
        <f>SUM(Q345:Q347)</f>
        <v>0</v>
      </c>
      <c r="R344" s="27">
        <f>SUM(R345:R347)</f>
        <v>0</v>
      </c>
      <c r="S344" s="27">
        <f t="shared" si="113"/>
        <v>0</v>
      </c>
      <c r="T344" s="27">
        <f>SUM(T345:T347)</f>
        <v>0</v>
      </c>
      <c r="U344" s="27">
        <f>SUM(U345:U347)</f>
        <v>0</v>
      </c>
      <c r="V344" s="27">
        <f t="shared" si="114"/>
        <v>0</v>
      </c>
      <c r="W344" s="27">
        <f>SUM(W345:W347)</f>
        <v>0</v>
      </c>
      <c r="X344" s="27">
        <f>SUM(X345:X347)</f>
        <v>0</v>
      </c>
      <c r="Y344" s="27">
        <f t="shared" si="115"/>
        <v>0</v>
      </c>
      <c r="Z344" s="27">
        <f>SUM(Z345:Z347)</f>
        <v>0</v>
      </c>
      <c r="AA344" s="27">
        <f>SUM(AA345:AA347)</f>
        <v>0</v>
      </c>
      <c r="AB344" s="27">
        <f t="shared" si="116"/>
        <v>0</v>
      </c>
      <c r="AC344" s="27">
        <f>SUM(AC345:AC347)</f>
        <v>0</v>
      </c>
      <c r="AD344" s="27">
        <f>SUM(AD345:AD347)</f>
        <v>0</v>
      </c>
      <c r="AE344" s="27">
        <f t="shared" si="117"/>
        <v>0</v>
      </c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</row>
    <row r="345" spans="1:255" ht="31.5" x14ac:dyDescent="0.25">
      <c r="A345" s="41" t="s">
        <v>313</v>
      </c>
      <c r="B345" s="36">
        <v>2</v>
      </c>
      <c r="C345" s="36">
        <v>122</v>
      </c>
      <c r="D345" s="36">
        <v>5301</v>
      </c>
      <c r="E345" s="31">
        <f t="shared" si="109"/>
        <v>48000</v>
      </c>
      <c r="F345" s="31">
        <f t="shared" si="109"/>
        <v>48000</v>
      </c>
      <c r="G345" s="31">
        <f t="shared" si="109"/>
        <v>0</v>
      </c>
      <c r="H345" s="31">
        <v>0</v>
      </c>
      <c r="I345" s="31">
        <v>0</v>
      </c>
      <c r="J345" s="31">
        <f t="shared" si="110"/>
        <v>0</v>
      </c>
      <c r="K345" s="31">
        <v>0</v>
      </c>
      <c r="L345" s="31">
        <v>0</v>
      </c>
      <c r="M345" s="31">
        <f t="shared" si="111"/>
        <v>0</v>
      </c>
      <c r="N345" s="31">
        <v>48000</v>
      </c>
      <c r="O345" s="31">
        <v>48000</v>
      </c>
      <c r="P345" s="31">
        <f t="shared" si="112"/>
        <v>0</v>
      </c>
      <c r="Q345" s="31">
        <v>0</v>
      </c>
      <c r="R345" s="31">
        <v>0</v>
      </c>
      <c r="S345" s="31">
        <f t="shared" si="113"/>
        <v>0</v>
      </c>
      <c r="T345" s="31">
        <v>0</v>
      </c>
      <c r="U345" s="31">
        <v>0</v>
      </c>
      <c r="V345" s="31">
        <f t="shared" si="114"/>
        <v>0</v>
      </c>
      <c r="W345" s="31">
        <v>0</v>
      </c>
      <c r="X345" s="31">
        <v>0</v>
      </c>
      <c r="Y345" s="31">
        <f t="shared" si="115"/>
        <v>0</v>
      </c>
      <c r="Z345" s="31">
        <v>0</v>
      </c>
      <c r="AA345" s="31">
        <v>0</v>
      </c>
      <c r="AB345" s="31">
        <f t="shared" si="116"/>
        <v>0</v>
      </c>
      <c r="AC345" s="31">
        <v>0</v>
      </c>
      <c r="AD345" s="31">
        <v>0</v>
      </c>
      <c r="AE345" s="31">
        <f t="shared" si="117"/>
        <v>0</v>
      </c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</row>
    <row r="346" spans="1:255" ht="31.5" x14ac:dyDescent="0.25">
      <c r="A346" s="35" t="s">
        <v>314</v>
      </c>
      <c r="B346" s="36">
        <v>2</v>
      </c>
      <c r="C346" s="36">
        <v>122</v>
      </c>
      <c r="D346" s="36">
        <v>5301</v>
      </c>
      <c r="E346" s="31">
        <f t="shared" si="109"/>
        <v>28440</v>
      </c>
      <c r="F346" s="31">
        <f t="shared" si="109"/>
        <v>28440</v>
      </c>
      <c r="G346" s="31">
        <f t="shared" si="109"/>
        <v>0</v>
      </c>
      <c r="H346" s="31">
        <v>0</v>
      </c>
      <c r="I346" s="31">
        <v>0</v>
      </c>
      <c r="J346" s="31">
        <f t="shared" si="110"/>
        <v>0</v>
      </c>
      <c r="K346" s="31">
        <v>0</v>
      </c>
      <c r="L346" s="31">
        <v>0</v>
      </c>
      <c r="M346" s="31">
        <f t="shared" si="111"/>
        <v>0</v>
      </c>
      <c r="N346" s="31">
        <v>28440</v>
      </c>
      <c r="O346" s="31">
        <v>28440</v>
      </c>
      <c r="P346" s="31">
        <f t="shared" si="112"/>
        <v>0</v>
      </c>
      <c r="Q346" s="31">
        <v>0</v>
      </c>
      <c r="R346" s="31">
        <v>0</v>
      </c>
      <c r="S346" s="31">
        <f t="shared" si="113"/>
        <v>0</v>
      </c>
      <c r="T346" s="31">
        <v>0</v>
      </c>
      <c r="U346" s="31">
        <v>0</v>
      </c>
      <c r="V346" s="31">
        <f t="shared" si="114"/>
        <v>0</v>
      </c>
      <c r="W346" s="31">
        <v>0</v>
      </c>
      <c r="X346" s="31">
        <v>0</v>
      </c>
      <c r="Y346" s="31">
        <f t="shared" si="115"/>
        <v>0</v>
      </c>
      <c r="Z346" s="31">
        <v>0</v>
      </c>
      <c r="AA346" s="31">
        <v>0</v>
      </c>
      <c r="AB346" s="31">
        <f t="shared" si="116"/>
        <v>0</v>
      </c>
      <c r="AC346" s="31">
        <v>0</v>
      </c>
      <c r="AD346" s="31">
        <v>0</v>
      </c>
      <c r="AE346" s="31">
        <f t="shared" si="117"/>
        <v>0</v>
      </c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</row>
    <row r="347" spans="1:255" ht="47.25" x14ac:dyDescent="0.25">
      <c r="A347" s="35" t="s">
        <v>315</v>
      </c>
      <c r="B347" s="36">
        <v>2</v>
      </c>
      <c r="C347" s="36">
        <v>122</v>
      </c>
      <c r="D347" s="36">
        <v>5301</v>
      </c>
      <c r="E347" s="31">
        <f t="shared" si="109"/>
        <v>34800</v>
      </c>
      <c r="F347" s="31">
        <f t="shared" si="109"/>
        <v>0</v>
      </c>
      <c r="G347" s="31">
        <f t="shared" si="109"/>
        <v>-34800</v>
      </c>
      <c r="H347" s="31">
        <v>0</v>
      </c>
      <c r="I347" s="31">
        <v>0</v>
      </c>
      <c r="J347" s="31">
        <f t="shared" si="110"/>
        <v>0</v>
      </c>
      <c r="K347" s="31">
        <v>0</v>
      </c>
      <c r="L347" s="31">
        <v>0</v>
      </c>
      <c r="M347" s="31">
        <f t="shared" si="111"/>
        <v>0</v>
      </c>
      <c r="N347" s="31">
        <v>34800</v>
      </c>
      <c r="O347" s="31">
        <f>34800-34800</f>
        <v>0</v>
      </c>
      <c r="P347" s="31">
        <f t="shared" si="112"/>
        <v>-34800</v>
      </c>
      <c r="Q347" s="31">
        <v>0</v>
      </c>
      <c r="R347" s="31">
        <v>0</v>
      </c>
      <c r="S347" s="31">
        <f t="shared" si="113"/>
        <v>0</v>
      </c>
      <c r="T347" s="31">
        <v>0</v>
      </c>
      <c r="U347" s="31">
        <v>0</v>
      </c>
      <c r="V347" s="31">
        <f t="shared" si="114"/>
        <v>0</v>
      </c>
      <c r="W347" s="31">
        <v>0</v>
      </c>
      <c r="X347" s="31">
        <v>0</v>
      </c>
      <c r="Y347" s="31">
        <f t="shared" si="115"/>
        <v>0</v>
      </c>
      <c r="Z347" s="31">
        <v>0</v>
      </c>
      <c r="AA347" s="31">
        <v>0</v>
      </c>
      <c r="AB347" s="31">
        <f t="shared" si="116"/>
        <v>0</v>
      </c>
      <c r="AC347" s="31">
        <v>0</v>
      </c>
      <c r="AD347" s="31">
        <v>0</v>
      </c>
      <c r="AE347" s="31">
        <f t="shared" si="117"/>
        <v>0</v>
      </c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</row>
    <row r="348" spans="1:255" x14ac:dyDescent="0.25">
      <c r="A348" s="26" t="s">
        <v>50</v>
      </c>
      <c r="B348" s="34"/>
      <c r="C348" s="34"/>
      <c r="D348" s="34"/>
      <c r="E348" s="27">
        <f t="shared" si="109"/>
        <v>1224</v>
      </c>
      <c r="F348" s="27">
        <f t="shared" si="109"/>
        <v>1224</v>
      </c>
      <c r="G348" s="27">
        <f t="shared" si="109"/>
        <v>0</v>
      </c>
      <c r="H348" s="27">
        <f>SUM(H349)</f>
        <v>0</v>
      </c>
      <c r="I348" s="27">
        <f>SUM(I349)</f>
        <v>0</v>
      </c>
      <c r="J348" s="27">
        <f t="shared" si="110"/>
        <v>0</v>
      </c>
      <c r="K348" s="27">
        <f>SUM(K349)</f>
        <v>0</v>
      </c>
      <c r="L348" s="27">
        <f>SUM(L349)</f>
        <v>0</v>
      </c>
      <c r="M348" s="27">
        <f t="shared" si="111"/>
        <v>0</v>
      </c>
      <c r="N348" s="27">
        <f>SUM(N349)</f>
        <v>1224</v>
      </c>
      <c r="O348" s="27">
        <f>SUM(O349)</f>
        <v>1224</v>
      </c>
      <c r="P348" s="27">
        <f t="shared" si="112"/>
        <v>0</v>
      </c>
      <c r="Q348" s="27">
        <f>SUM(Q349)</f>
        <v>0</v>
      </c>
      <c r="R348" s="27">
        <f>SUM(R349)</f>
        <v>0</v>
      </c>
      <c r="S348" s="27">
        <f t="shared" si="113"/>
        <v>0</v>
      </c>
      <c r="T348" s="27">
        <f>SUM(T349)</f>
        <v>0</v>
      </c>
      <c r="U348" s="27">
        <f>SUM(U349)</f>
        <v>0</v>
      </c>
      <c r="V348" s="27">
        <f t="shared" si="114"/>
        <v>0</v>
      </c>
      <c r="W348" s="27">
        <f>SUM(W349)</f>
        <v>0</v>
      </c>
      <c r="X348" s="27">
        <f>SUM(X349)</f>
        <v>0</v>
      </c>
      <c r="Y348" s="27">
        <f t="shared" si="115"/>
        <v>0</v>
      </c>
      <c r="Z348" s="27">
        <f>SUM(Z349)</f>
        <v>0</v>
      </c>
      <c r="AA348" s="27">
        <f>SUM(AA349)</f>
        <v>0</v>
      </c>
      <c r="AB348" s="27">
        <f t="shared" si="116"/>
        <v>0</v>
      </c>
      <c r="AC348" s="27">
        <f>SUM(AC349)</f>
        <v>0</v>
      </c>
      <c r="AD348" s="27">
        <f>SUM(AD349)</f>
        <v>0</v>
      </c>
      <c r="AE348" s="27">
        <f t="shared" si="117"/>
        <v>0</v>
      </c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</row>
    <row r="349" spans="1:255" ht="31.5" x14ac:dyDescent="0.25">
      <c r="A349" s="26" t="s">
        <v>312</v>
      </c>
      <c r="B349" s="34"/>
      <c r="C349" s="34"/>
      <c r="D349" s="34"/>
      <c r="E349" s="27">
        <f t="shared" si="109"/>
        <v>1224</v>
      </c>
      <c r="F349" s="27">
        <f t="shared" si="109"/>
        <v>1224</v>
      </c>
      <c r="G349" s="27">
        <f t="shared" si="109"/>
        <v>0</v>
      </c>
      <c r="H349" s="27">
        <f>SUM(H350:H351)</f>
        <v>0</v>
      </c>
      <c r="I349" s="27">
        <f>SUM(I350:I351)</f>
        <v>0</v>
      </c>
      <c r="J349" s="27">
        <f t="shared" si="110"/>
        <v>0</v>
      </c>
      <c r="K349" s="27">
        <f>SUM(K350:K351)</f>
        <v>0</v>
      </c>
      <c r="L349" s="27">
        <f>SUM(L350:L351)</f>
        <v>0</v>
      </c>
      <c r="M349" s="27">
        <f t="shared" si="111"/>
        <v>0</v>
      </c>
      <c r="N349" s="27">
        <f>SUM(N350:N351)</f>
        <v>1224</v>
      </c>
      <c r="O349" s="27">
        <f>SUM(O350:O351)</f>
        <v>1224</v>
      </c>
      <c r="P349" s="27">
        <f t="shared" si="112"/>
        <v>0</v>
      </c>
      <c r="Q349" s="27">
        <f>SUM(Q350:Q351)</f>
        <v>0</v>
      </c>
      <c r="R349" s="27">
        <f>SUM(R350:R351)</f>
        <v>0</v>
      </c>
      <c r="S349" s="27">
        <f t="shared" si="113"/>
        <v>0</v>
      </c>
      <c r="T349" s="27">
        <f>SUM(T350:T351)</f>
        <v>0</v>
      </c>
      <c r="U349" s="27">
        <f>SUM(U350:U351)</f>
        <v>0</v>
      </c>
      <c r="V349" s="27">
        <f t="shared" si="114"/>
        <v>0</v>
      </c>
      <c r="W349" s="27">
        <f>SUM(W350:W351)</f>
        <v>0</v>
      </c>
      <c r="X349" s="27">
        <f>SUM(X350:X351)</f>
        <v>0</v>
      </c>
      <c r="Y349" s="27">
        <f t="shared" si="115"/>
        <v>0</v>
      </c>
      <c r="Z349" s="27">
        <f>SUM(Z350:Z351)</f>
        <v>0</v>
      </c>
      <c r="AA349" s="27">
        <f>SUM(AA350:AA351)</f>
        <v>0</v>
      </c>
      <c r="AB349" s="27">
        <f t="shared" si="116"/>
        <v>0</v>
      </c>
      <c r="AC349" s="27">
        <f>SUM(AC350:AC351)</f>
        <v>0</v>
      </c>
      <c r="AD349" s="27">
        <f>SUM(AD350:AD351)</f>
        <v>0</v>
      </c>
      <c r="AE349" s="27">
        <f t="shared" si="117"/>
        <v>0</v>
      </c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</row>
    <row r="350" spans="1:255" ht="47.25" x14ac:dyDescent="0.25">
      <c r="A350" s="35" t="s">
        <v>316</v>
      </c>
      <c r="B350" s="36">
        <v>1</v>
      </c>
      <c r="C350" s="36">
        <v>326</v>
      </c>
      <c r="D350" s="36">
        <v>5301</v>
      </c>
      <c r="E350" s="38">
        <f t="shared" si="109"/>
        <v>924</v>
      </c>
      <c r="F350" s="38">
        <f t="shared" si="109"/>
        <v>924</v>
      </c>
      <c r="G350" s="38">
        <f t="shared" si="109"/>
        <v>0</v>
      </c>
      <c r="H350" s="38">
        <v>0</v>
      </c>
      <c r="I350" s="38">
        <v>0</v>
      </c>
      <c r="J350" s="38">
        <f t="shared" si="110"/>
        <v>0</v>
      </c>
      <c r="K350" s="38">
        <v>0</v>
      </c>
      <c r="L350" s="38">
        <v>0</v>
      </c>
      <c r="M350" s="38">
        <f t="shared" si="111"/>
        <v>0</v>
      </c>
      <c r="N350" s="38">
        <v>924</v>
      </c>
      <c r="O350" s="38">
        <v>924</v>
      </c>
      <c r="P350" s="38">
        <f t="shared" si="112"/>
        <v>0</v>
      </c>
      <c r="Q350" s="38"/>
      <c r="R350" s="38"/>
      <c r="S350" s="38">
        <f t="shared" si="113"/>
        <v>0</v>
      </c>
      <c r="T350" s="38">
        <v>0</v>
      </c>
      <c r="U350" s="38">
        <v>0</v>
      </c>
      <c r="V350" s="38">
        <f t="shared" si="114"/>
        <v>0</v>
      </c>
      <c r="W350" s="38">
        <v>0</v>
      </c>
      <c r="X350" s="38">
        <v>0</v>
      </c>
      <c r="Y350" s="38">
        <f t="shared" si="115"/>
        <v>0</v>
      </c>
      <c r="Z350" s="38">
        <v>0</v>
      </c>
      <c r="AA350" s="38">
        <v>0</v>
      </c>
      <c r="AB350" s="38">
        <f t="shared" si="116"/>
        <v>0</v>
      </c>
      <c r="AC350" s="38">
        <v>0</v>
      </c>
      <c r="AD350" s="38">
        <v>0</v>
      </c>
      <c r="AE350" s="38">
        <f t="shared" si="117"/>
        <v>0</v>
      </c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</row>
    <row r="351" spans="1:255" ht="43.5" customHeight="1" x14ac:dyDescent="0.25">
      <c r="A351" s="29" t="s">
        <v>317</v>
      </c>
      <c r="B351" s="30">
        <v>1</v>
      </c>
      <c r="C351" s="30">
        <v>322</v>
      </c>
      <c r="D351" s="30">
        <v>5301</v>
      </c>
      <c r="E351" s="38">
        <f t="shared" si="109"/>
        <v>300</v>
      </c>
      <c r="F351" s="38">
        <f t="shared" si="109"/>
        <v>300</v>
      </c>
      <c r="G351" s="38">
        <f t="shared" si="109"/>
        <v>0</v>
      </c>
      <c r="H351" s="38">
        <v>0</v>
      </c>
      <c r="I351" s="38">
        <v>0</v>
      </c>
      <c r="J351" s="38">
        <f t="shared" si="110"/>
        <v>0</v>
      </c>
      <c r="K351" s="38">
        <v>0</v>
      </c>
      <c r="L351" s="38">
        <v>0</v>
      </c>
      <c r="M351" s="38">
        <f t="shared" si="111"/>
        <v>0</v>
      </c>
      <c r="N351" s="38">
        <v>300</v>
      </c>
      <c r="O351" s="38">
        <v>300</v>
      </c>
      <c r="P351" s="38">
        <f t="shared" si="112"/>
        <v>0</v>
      </c>
      <c r="Q351" s="38">
        <v>0</v>
      </c>
      <c r="R351" s="38">
        <v>0</v>
      </c>
      <c r="S351" s="38">
        <f t="shared" si="113"/>
        <v>0</v>
      </c>
      <c r="T351" s="38">
        <v>0</v>
      </c>
      <c r="U351" s="38">
        <v>0</v>
      </c>
      <c r="V351" s="38">
        <f t="shared" si="114"/>
        <v>0</v>
      </c>
      <c r="W351" s="38">
        <v>0</v>
      </c>
      <c r="X351" s="38">
        <v>0</v>
      </c>
      <c r="Y351" s="38">
        <f t="shared" si="115"/>
        <v>0</v>
      </c>
      <c r="Z351" s="38">
        <v>0</v>
      </c>
      <c r="AA351" s="38">
        <v>0</v>
      </c>
      <c r="AB351" s="38">
        <f t="shared" si="116"/>
        <v>0</v>
      </c>
      <c r="AC351" s="38">
        <v>0</v>
      </c>
      <c r="AD351" s="38">
        <v>0</v>
      </c>
      <c r="AE351" s="38">
        <f t="shared" si="117"/>
        <v>0</v>
      </c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</row>
    <row r="352" spans="1:255" ht="31.5" x14ac:dyDescent="0.25">
      <c r="A352" s="26" t="s">
        <v>97</v>
      </c>
      <c r="B352" s="34"/>
      <c r="C352" s="34"/>
      <c r="D352" s="34"/>
      <c r="E352" s="27">
        <f t="shared" si="109"/>
        <v>18970</v>
      </c>
      <c r="F352" s="27">
        <f t="shared" si="109"/>
        <v>18970</v>
      </c>
      <c r="G352" s="27">
        <f t="shared" si="109"/>
        <v>0</v>
      </c>
      <c r="H352" s="27">
        <f>SUM(H353,H358)</f>
        <v>0</v>
      </c>
      <c r="I352" s="27">
        <f>SUM(I353,I358)</f>
        <v>0</v>
      </c>
      <c r="J352" s="27">
        <f t="shared" si="110"/>
        <v>0</v>
      </c>
      <c r="K352" s="27">
        <f>SUM(K353,K358)</f>
        <v>0</v>
      </c>
      <c r="L352" s="27">
        <f>SUM(L353,L358)</f>
        <v>0</v>
      </c>
      <c r="M352" s="27">
        <f t="shared" si="111"/>
        <v>0</v>
      </c>
      <c r="N352" s="27">
        <f>SUM(N353,N358)</f>
        <v>17640</v>
      </c>
      <c r="O352" s="27">
        <f>SUM(O353,O358)</f>
        <v>17640</v>
      </c>
      <c r="P352" s="27">
        <f t="shared" si="112"/>
        <v>0</v>
      </c>
      <c r="Q352" s="27">
        <f>SUM(Q353,Q358)</f>
        <v>0</v>
      </c>
      <c r="R352" s="27">
        <f>SUM(R353,R358)</f>
        <v>0</v>
      </c>
      <c r="S352" s="27">
        <f t="shared" si="113"/>
        <v>0</v>
      </c>
      <c r="T352" s="27">
        <f>SUM(T353,T358)</f>
        <v>1330</v>
      </c>
      <c r="U352" s="27">
        <f>SUM(U353,U358)</f>
        <v>1330</v>
      </c>
      <c r="V352" s="27">
        <f t="shared" si="114"/>
        <v>0</v>
      </c>
      <c r="W352" s="27">
        <f>SUM(W353,W358)</f>
        <v>0</v>
      </c>
      <c r="X352" s="27">
        <f>SUM(X353,X358)</f>
        <v>0</v>
      </c>
      <c r="Y352" s="27">
        <f t="shared" si="115"/>
        <v>0</v>
      </c>
      <c r="Z352" s="27">
        <f>SUM(Z353,Z358)</f>
        <v>0</v>
      </c>
      <c r="AA352" s="27">
        <f>SUM(AA353,AA358)</f>
        <v>0</v>
      </c>
      <c r="AB352" s="27">
        <f t="shared" si="116"/>
        <v>0</v>
      </c>
      <c r="AC352" s="27">
        <f>SUM(AC353,AC358)</f>
        <v>0</v>
      </c>
      <c r="AD352" s="27">
        <f>SUM(AD353,AD358)</f>
        <v>0</v>
      </c>
      <c r="AE352" s="27">
        <f t="shared" si="117"/>
        <v>0</v>
      </c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</row>
    <row r="353" spans="1:255" ht="31.5" x14ac:dyDescent="0.25">
      <c r="A353" s="26" t="s">
        <v>312</v>
      </c>
      <c r="B353" s="34"/>
      <c r="C353" s="34"/>
      <c r="D353" s="34"/>
      <c r="E353" s="27">
        <f t="shared" si="109"/>
        <v>4570</v>
      </c>
      <c r="F353" s="27">
        <f t="shared" si="109"/>
        <v>4570</v>
      </c>
      <c r="G353" s="27">
        <f t="shared" si="109"/>
        <v>0</v>
      </c>
      <c r="H353" s="27">
        <f>SUM(H354:H357)</f>
        <v>0</v>
      </c>
      <c r="I353" s="27">
        <f>SUM(I354:I357)</f>
        <v>0</v>
      </c>
      <c r="J353" s="27">
        <f t="shared" si="110"/>
        <v>0</v>
      </c>
      <c r="K353" s="27">
        <f>SUM(K354:K357)</f>
        <v>0</v>
      </c>
      <c r="L353" s="27">
        <f>SUM(L354:L357)</f>
        <v>0</v>
      </c>
      <c r="M353" s="27">
        <f t="shared" si="111"/>
        <v>0</v>
      </c>
      <c r="N353" s="27">
        <f>SUM(N354:N357)</f>
        <v>3240</v>
      </c>
      <c r="O353" s="27">
        <f>SUM(O354:O357)</f>
        <v>3240</v>
      </c>
      <c r="P353" s="27">
        <f t="shared" si="112"/>
        <v>0</v>
      </c>
      <c r="Q353" s="27">
        <f>SUM(Q354:Q357)</f>
        <v>0</v>
      </c>
      <c r="R353" s="27">
        <f>SUM(R354:R357)</f>
        <v>0</v>
      </c>
      <c r="S353" s="27">
        <f t="shared" si="113"/>
        <v>0</v>
      </c>
      <c r="T353" s="27">
        <f>SUM(T354:T357)</f>
        <v>1330</v>
      </c>
      <c r="U353" s="27">
        <f>SUM(U354:U357)</f>
        <v>1330</v>
      </c>
      <c r="V353" s="27">
        <f t="shared" si="114"/>
        <v>0</v>
      </c>
      <c r="W353" s="27">
        <f>SUM(W354:W357)</f>
        <v>0</v>
      </c>
      <c r="X353" s="27">
        <f>SUM(X354:X357)</f>
        <v>0</v>
      </c>
      <c r="Y353" s="27">
        <f t="shared" si="115"/>
        <v>0</v>
      </c>
      <c r="Z353" s="27">
        <f>SUM(Z354:Z357)</f>
        <v>0</v>
      </c>
      <c r="AA353" s="27">
        <f>SUM(AA354:AA357)</f>
        <v>0</v>
      </c>
      <c r="AB353" s="27">
        <f t="shared" si="116"/>
        <v>0</v>
      </c>
      <c r="AC353" s="27">
        <f>SUM(AC354:AC357)</f>
        <v>0</v>
      </c>
      <c r="AD353" s="27">
        <f>SUM(AD354:AD357)</f>
        <v>0</v>
      </c>
      <c r="AE353" s="27">
        <f t="shared" si="117"/>
        <v>0</v>
      </c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</row>
    <row r="354" spans="1:255" x14ac:dyDescent="0.25">
      <c r="A354" s="29" t="s">
        <v>318</v>
      </c>
      <c r="B354" s="30">
        <v>1</v>
      </c>
      <c r="C354" s="30">
        <v>751</v>
      </c>
      <c r="D354" s="30">
        <v>5301</v>
      </c>
      <c r="E354" s="38">
        <f t="shared" si="109"/>
        <v>1500</v>
      </c>
      <c r="F354" s="38">
        <f t="shared" si="109"/>
        <v>1500</v>
      </c>
      <c r="G354" s="38">
        <f t="shared" si="109"/>
        <v>0</v>
      </c>
      <c r="H354" s="38">
        <v>0</v>
      </c>
      <c r="I354" s="38">
        <v>0</v>
      </c>
      <c r="J354" s="38">
        <f t="shared" si="110"/>
        <v>0</v>
      </c>
      <c r="K354" s="38">
        <v>0</v>
      </c>
      <c r="L354" s="38">
        <v>0</v>
      </c>
      <c r="M354" s="38">
        <f t="shared" si="111"/>
        <v>0</v>
      </c>
      <c r="N354" s="38">
        <v>1500</v>
      </c>
      <c r="O354" s="38">
        <v>1500</v>
      </c>
      <c r="P354" s="38">
        <f t="shared" si="112"/>
        <v>0</v>
      </c>
      <c r="Q354" s="38">
        <v>0</v>
      </c>
      <c r="R354" s="38">
        <v>0</v>
      </c>
      <c r="S354" s="38">
        <f t="shared" si="113"/>
        <v>0</v>
      </c>
      <c r="T354" s="38">
        <v>0</v>
      </c>
      <c r="U354" s="38">
        <v>0</v>
      </c>
      <c r="V354" s="38">
        <f t="shared" si="114"/>
        <v>0</v>
      </c>
      <c r="W354" s="38">
        <v>0</v>
      </c>
      <c r="X354" s="38">
        <v>0</v>
      </c>
      <c r="Y354" s="38">
        <f t="shared" si="115"/>
        <v>0</v>
      </c>
      <c r="Z354" s="38">
        <v>0</v>
      </c>
      <c r="AA354" s="38">
        <v>0</v>
      </c>
      <c r="AB354" s="38">
        <f t="shared" si="116"/>
        <v>0</v>
      </c>
      <c r="AC354" s="38">
        <v>0</v>
      </c>
      <c r="AD354" s="38">
        <v>0</v>
      </c>
      <c r="AE354" s="38">
        <f t="shared" si="117"/>
        <v>0</v>
      </c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</row>
    <row r="355" spans="1:255" ht="31.5" x14ac:dyDescent="0.25">
      <c r="A355" s="29" t="s">
        <v>319</v>
      </c>
      <c r="B355" s="36">
        <v>1</v>
      </c>
      <c r="C355" s="36">
        <v>751</v>
      </c>
      <c r="D355" s="36">
        <v>5301</v>
      </c>
      <c r="E355" s="38">
        <f t="shared" si="109"/>
        <v>750</v>
      </c>
      <c r="F355" s="38">
        <f t="shared" si="109"/>
        <v>750</v>
      </c>
      <c r="G355" s="38">
        <f t="shared" si="109"/>
        <v>0</v>
      </c>
      <c r="H355" s="38">
        <v>0</v>
      </c>
      <c r="I355" s="38">
        <v>0</v>
      </c>
      <c r="J355" s="38">
        <f t="shared" si="110"/>
        <v>0</v>
      </c>
      <c r="K355" s="38">
        <v>0</v>
      </c>
      <c r="L355" s="38">
        <v>0</v>
      </c>
      <c r="M355" s="38">
        <f t="shared" si="111"/>
        <v>0</v>
      </c>
      <c r="N355" s="38">
        <v>750</v>
      </c>
      <c r="O355" s="38">
        <v>750</v>
      </c>
      <c r="P355" s="38">
        <f t="shared" si="112"/>
        <v>0</v>
      </c>
      <c r="Q355" s="38">
        <v>0</v>
      </c>
      <c r="R355" s="38">
        <v>0</v>
      </c>
      <c r="S355" s="38">
        <f t="shared" si="113"/>
        <v>0</v>
      </c>
      <c r="T355" s="38">
        <v>0</v>
      </c>
      <c r="U355" s="38">
        <v>0</v>
      </c>
      <c r="V355" s="38">
        <f t="shared" si="114"/>
        <v>0</v>
      </c>
      <c r="W355" s="38">
        <v>0</v>
      </c>
      <c r="X355" s="38">
        <v>0</v>
      </c>
      <c r="Y355" s="38">
        <f t="shared" si="115"/>
        <v>0</v>
      </c>
      <c r="Z355" s="38">
        <v>0</v>
      </c>
      <c r="AA355" s="38">
        <v>0</v>
      </c>
      <c r="AB355" s="38">
        <f t="shared" si="116"/>
        <v>0</v>
      </c>
      <c r="AC355" s="38">
        <v>0</v>
      </c>
      <c r="AD355" s="38">
        <v>0</v>
      </c>
      <c r="AE355" s="38">
        <f t="shared" si="117"/>
        <v>0</v>
      </c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</row>
    <row r="356" spans="1:255" ht="31.5" x14ac:dyDescent="0.25">
      <c r="A356" s="35" t="s">
        <v>320</v>
      </c>
      <c r="B356" s="36">
        <v>1</v>
      </c>
      <c r="C356" s="36">
        <v>739</v>
      </c>
      <c r="D356" s="36">
        <v>5301</v>
      </c>
      <c r="E356" s="38">
        <f t="shared" si="109"/>
        <v>1330</v>
      </c>
      <c r="F356" s="38">
        <f t="shared" si="109"/>
        <v>1330</v>
      </c>
      <c r="G356" s="38">
        <f t="shared" si="109"/>
        <v>0</v>
      </c>
      <c r="H356" s="38">
        <v>0</v>
      </c>
      <c r="I356" s="38">
        <v>0</v>
      </c>
      <c r="J356" s="38">
        <f t="shared" si="110"/>
        <v>0</v>
      </c>
      <c r="K356" s="38">
        <v>0</v>
      </c>
      <c r="L356" s="38">
        <v>0</v>
      </c>
      <c r="M356" s="38">
        <f t="shared" si="111"/>
        <v>0</v>
      </c>
      <c r="N356" s="38"/>
      <c r="O356" s="38"/>
      <c r="P356" s="38">
        <f t="shared" si="112"/>
        <v>0</v>
      </c>
      <c r="Q356" s="38">
        <v>0</v>
      </c>
      <c r="R356" s="38">
        <v>0</v>
      </c>
      <c r="S356" s="38">
        <f t="shared" si="113"/>
        <v>0</v>
      </c>
      <c r="T356" s="38">
        <v>1330</v>
      </c>
      <c r="U356" s="38">
        <v>1330</v>
      </c>
      <c r="V356" s="38">
        <f t="shared" si="114"/>
        <v>0</v>
      </c>
      <c r="W356" s="38">
        <v>0</v>
      </c>
      <c r="X356" s="38">
        <v>0</v>
      </c>
      <c r="Y356" s="38">
        <f t="shared" si="115"/>
        <v>0</v>
      </c>
      <c r="Z356" s="38">
        <v>0</v>
      </c>
      <c r="AA356" s="38">
        <v>0</v>
      </c>
      <c r="AB356" s="38">
        <f t="shared" si="116"/>
        <v>0</v>
      </c>
      <c r="AC356" s="38">
        <v>0</v>
      </c>
      <c r="AD356" s="38">
        <v>0</v>
      </c>
      <c r="AE356" s="38">
        <f t="shared" si="117"/>
        <v>0</v>
      </c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</row>
    <row r="357" spans="1:255" x14ac:dyDescent="0.25">
      <c r="A357" s="29" t="s">
        <v>321</v>
      </c>
      <c r="B357" s="36">
        <v>1</v>
      </c>
      <c r="C357" s="36">
        <v>751</v>
      </c>
      <c r="D357" s="36">
        <v>5301</v>
      </c>
      <c r="E357" s="38">
        <f t="shared" si="109"/>
        <v>990</v>
      </c>
      <c r="F357" s="38">
        <f t="shared" si="109"/>
        <v>990</v>
      </c>
      <c r="G357" s="38">
        <f t="shared" si="109"/>
        <v>0</v>
      </c>
      <c r="H357" s="38">
        <v>0</v>
      </c>
      <c r="I357" s="38">
        <v>0</v>
      </c>
      <c r="J357" s="38">
        <f t="shared" si="110"/>
        <v>0</v>
      </c>
      <c r="K357" s="38">
        <v>0</v>
      </c>
      <c r="L357" s="38">
        <v>0</v>
      </c>
      <c r="M357" s="38">
        <f t="shared" si="111"/>
        <v>0</v>
      </c>
      <c r="N357" s="38">
        <v>990</v>
      </c>
      <c r="O357" s="38">
        <v>990</v>
      </c>
      <c r="P357" s="38">
        <f t="shared" si="112"/>
        <v>0</v>
      </c>
      <c r="Q357" s="38">
        <v>0</v>
      </c>
      <c r="R357" s="38">
        <v>0</v>
      </c>
      <c r="S357" s="38">
        <f t="shared" si="113"/>
        <v>0</v>
      </c>
      <c r="T357" s="38">
        <v>0</v>
      </c>
      <c r="U357" s="38">
        <v>0</v>
      </c>
      <c r="V357" s="38">
        <f t="shared" si="114"/>
        <v>0</v>
      </c>
      <c r="W357" s="38">
        <v>0</v>
      </c>
      <c r="X357" s="38">
        <v>0</v>
      </c>
      <c r="Y357" s="38">
        <f t="shared" si="115"/>
        <v>0</v>
      </c>
      <c r="Z357" s="38">
        <v>0</v>
      </c>
      <c r="AA357" s="38">
        <v>0</v>
      </c>
      <c r="AB357" s="38">
        <f t="shared" si="116"/>
        <v>0</v>
      </c>
      <c r="AC357" s="38">
        <v>0</v>
      </c>
      <c r="AD357" s="38">
        <v>0</v>
      </c>
      <c r="AE357" s="38">
        <f t="shared" si="117"/>
        <v>0</v>
      </c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</row>
    <row r="358" spans="1:255" x14ac:dyDescent="0.25">
      <c r="A358" s="26" t="s">
        <v>322</v>
      </c>
      <c r="B358" s="34"/>
      <c r="C358" s="34"/>
      <c r="D358" s="34"/>
      <c r="E358" s="27">
        <f t="shared" si="109"/>
        <v>14400</v>
      </c>
      <c r="F358" s="27">
        <f t="shared" si="109"/>
        <v>14400</v>
      </c>
      <c r="G358" s="27">
        <f t="shared" si="109"/>
        <v>0</v>
      </c>
      <c r="H358" s="27">
        <f>SUM(H359:H359)</f>
        <v>0</v>
      </c>
      <c r="I358" s="27">
        <f>SUM(I359:I359)</f>
        <v>0</v>
      </c>
      <c r="J358" s="27">
        <f t="shared" si="110"/>
        <v>0</v>
      </c>
      <c r="K358" s="27">
        <f>SUM(K359:K359)</f>
        <v>0</v>
      </c>
      <c r="L358" s="27">
        <f>SUM(L359:L359)</f>
        <v>0</v>
      </c>
      <c r="M358" s="27">
        <f t="shared" si="111"/>
        <v>0</v>
      </c>
      <c r="N358" s="27">
        <f>SUM(N359:N359)</f>
        <v>14400</v>
      </c>
      <c r="O358" s="27">
        <f>SUM(O359:O359)</f>
        <v>14400</v>
      </c>
      <c r="P358" s="27">
        <f t="shared" si="112"/>
        <v>0</v>
      </c>
      <c r="Q358" s="27">
        <f>SUM(Q359:Q359)</f>
        <v>0</v>
      </c>
      <c r="R358" s="27">
        <f>SUM(R359:R359)</f>
        <v>0</v>
      </c>
      <c r="S358" s="27">
        <f t="shared" si="113"/>
        <v>0</v>
      </c>
      <c r="T358" s="27">
        <f>SUM(T359:T359)</f>
        <v>0</v>
      </c>
      <c r="U358" s="27">
        <f>SUM(U359:U359)</f>
        <v>0</v>
      </c>
      <c r="V358" s="27">
        <f t="shared" si="114"/>
        <v>0</v>
      </c>
      <c r="W358" s="27">
        <f>SUM(W359:W359)</f>
        <v>0</v>
      </c>
      <c r="X358" s="27">
        <f>SUM(X359:X359)</f>
        <v>0</v>
      </c>
      <c r="Y358" s="27">
        <f t="shared" si="115"/>
        <v>0</v>
      </c>
      <c r="Z358" s="27">
        <f>SUM(Z359:Z359)</f>
        <v>0</v>
      </c>
      <c r="AA358" s="27">
        <f>SUM(AA359:AA359)</f>
        <v>0</v>
      </c>
      <c r="AB358" s="27">
        <f t="shared" si="116"/>
        <v>0</v>
      </c>
      <c r="AC358" s="27">
        <f>SUM(AC359:AC359)</f>
        <v>0</v>
      </c>
      <c r="AD358" s="27">
        <f>SUM(AD359:AD359)</f>
        <v>0</v>
      </c>
      <c r="AE358" s="27">
        <f t="shared" si="117"/>
        <v>0</v>
      </c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</row>
    <row r="359" spans="1:255" ht="31.5" x14ac:dyDescent="0.25">
      <c r="A359" s="35" t="s">
        <v>323</v>
      </c>
      <c r="B359" s="36">
        <v>3</v>
      </c>
      <c r="C359" s="36">
        <v>739</v>
      </c>
      <c r="D359" s="36">
        <v>5309</v>
      </c>
      <c r="E359" s="38">
        <f t="shared" si="109"/>
        <v>14400</v>
      </c>
      <c r="F359" s="38">
        <f t="shared" si="109"/>
        <v>14400</v>
      </c>
      <c r="G359" s="38">
        <f t="shared" si="109"/>
        <v>0</v>
      </c>
      <c r="H359" s="38">
        <v>0</v>
      </c>
      <c r="I359" s="38">
        <v>0</v>
      </c>
      <c r="J359" s="38">
        <f t="shared" si="110"/>
        <v>0</v>
      </c>
      <c r="K359" s="38">
        <v>0</v>
      </c>
      <c r="L359" s="38">
        <v>0</v>
      </c>
      <c r="M359" s="38">
        <f t="shared" si="111"/>
        <v>0</v>
      </c>
      <c r="N359" s="38">
        <v>14400</v>
      </c>
      <c r="O359" s="38">
        <v>14400</v>
      </c>
      <c r="P359" s="38">
        <f t="shared" si="112"/>
        <v>0</v>
      </c>
      <c r="Q359" s="38">
        <v>0</v>
      </c>
      <c r="R359" s="38">
        <v>0</v>
      </c>
      <c r="S359" s="38">
        <f t="shared" si="113"/>
        <v>0</v>
      </c>
      <c r="T359" s="38">
        <v>0</v>
      </c>
      <c r="U359" s="38">
        <v>0</v>
      </c>
      <c r="V359" s="38">
        <f t="shared" si="114"/>
        <v>0</v>
      </c>
      <c r="W359" s="38">
        <v>0</v>
      </c>
      <c r="X359" s="38">
        <v>0</v>
      </c>
      <c r="Y359" s="38">
        <f t="shared" si="115"/>
        <v>0</v>
      </c>
      <c r="Z359" s="38">
        <v>0</v>
      </c>
      <c r="AA359" s="38">
        <v>0</v>
      </c>
      <c r="AB359" s="38">
        <f t="shared" si="116"/>
        <v>0</v>
      </c>
      <c r="AC359" s="38">
        <v>0</v>
      </c>
      <c r="AD359" s="38">
        <v>0</v>
      </c>
      <c r="AE359" s="38">
        <f t="shared" si="117"/>
        <v>0</v>
      </c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</row>
    <row r="360" spans="1:255" x14ac:dyDescent="0.25">
      <c r="A360" s="26" t="s">
        <v>104</v>
      </c>
      <c r="B360" s="34"/>
      <c r="C360" s="34"/>
      <c r="D360" s="34"/>
      <c r="E360" s="27">
        <f t="shared" si="109"/>
        <v>33000</v>
      </c>
      <c r="F360" s="27">
        <f t="shared" si="109"/>
        <v>33000</v>
      </c>
      <c r="G360" s="27">
        <f t="shared" si="109"/>
        <v>0</v>
      </c>
      <c r="H360" s="27">
        <f>SUM(H361)</f>
        <v>0</v>
      </c>
      <c r="I360" s="27">
        <f>SUM(I361)</f>
        <v>0</v>
      </c>
      <c r="J360" s="27">
        <f t="shared" si="110"/>
        <v>0</v>
      </c>
      <c r="K360" s="27">
        <f>SUM(K361)</f>
        <v>0</v>
      </c>
      <c r="L360" s="27">
        <f>SUM(L361)</f>
        <v>0</v>
      </c>
      <c r="M360" s="27">
        <f t="shared" si="111"/>
        <v>0</v>
      </c>
      <c r="N360" s="27">
        <f>SUM(N361)</f>
        <v>33000</v>
      </c>
      <c r="O360" s="27">
        <f>SUM(O361)</f>
        <v>33000</v>
      </c>
      <c r="P360" s="27">
        <f t="shared" si="112"/>
        <v>0</v>
      </c>
      <c r="Q360" s="27">
        <f>SUM(Q361)</f>
        <v>0</v>
      </c>
      <c r="R360" s="27">
        <f>SUM(R361)</f>
        <v>0</v>
      </c>
      <c r="S360" s="27">
        <f t="shared" si="113"/>
        <v>0</v>
      </c>
      <c r="T360" s="27">
        <f>SUM(T361)</f>
        <v>0</v>
      </c>
      <c r="U360" s="27">
        <f>SUM(U361)</f>
        <v>0</v>
      </c>
      <c r="V360" s="27">
        <f t="shared" si="114"/>
        <v>0</v>
      </c>
      <c r="W360" s="27">
        <f>SUM(W361)</f>
        <v>0</v>
      </c>
      <c r="X360" s="27">
        <f>SUM(X361)</f>
        <v>0</v>
      </c>
      <c r="Y360" s="27">
        <f t="shared" si="115"/>
        <v>0</v>
      </c>
      <c r="Z360" s="27">
        <f>SUM(Z361)</f>
        <v>0</v>
      </c>
      <c r="AA360" s="27">
        <f>SUM(AA361)</f>
        <v>0</v>
      </c>
      <c r="AB360" s="27">
        <f t="shared" si="116"/>
        <v>0</v>
      </c>
      <c r="AC360" s="27">
        <f>SUM(AC361)</f>
        <v>0</v>
      </c>
      <c r="AD360" s="27">
        <f>SUM(AD361)</f>
        <v>0</v>
      </c>
      <c r="AE360" s="27">
        <f t="shared" si="117"/>
        <v>0</v>
      </c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</row>
    <row r="361" spans="1:255" ht="31.5" x14ac:dyDescent="0.25">
      <c r="A361" s="26" t="s">
        <v>312</v>
      </c>
      <c r="B361" s="34"/>
      <c r="C361" s="34"/>
      <c r="D361" s="34"/>
      <c r="E361" s="27">
        <f t="shared" si="109"/>
        <v>33000</v>
      </c>
      <c r="F361" s="27">
        <f t="shared" si="109"/>
        <v>33000</v>
      </c>
      <c r="G361" s="27">
        <f t="shared" si="109"/>
        <v>0</v>
      </c>
      <c r="H361" s="27">
        <f>SUM(H362:H362)</f>
        <v>0</v>
      </c>
      <c r="I361" s="27">
        <f>SUM(I362:I362)</f>
        <v>0</v>
      </c>
      <c r="J361" s="27">
        <f t="shared" si="110"/>
        <v>0</v>
      </c>
      <c r="K361" s="27">
        <f>SUM(K362:K362)</f>
        <v>0</v>
      </c>
      <c r="L361" s="27">
        <f>SUM(L362:L362)</f>
        <v>0</v>
      </c>
      <c r="M361" s="27">
        <f t="shared" si="111"/>
        <v>0</v>
      </c>
      <c r="N361" s="27">
        <f>SUM(N362:N362)</f>
        <v>33000</v>
      </c>
      <c r="O361" s="27">
        <f>SUM(O362:O362)</f>
        <v>33000</v>
      </c>
      <c r="P361" s="27">
        <f t="shared" si="112"/>
        <v>0</v>
      </c>
      <c r="Q361" s="27">
        <f>SUM(Q362:Q362)</f>
        <v>0</v>
      </c>
      <c r="R361" s="27">
        <f>SUM(R362:R362)</f>
        <v>0</v>
      </c>
      <c r="S361" s="27">
        <f t="shared" si="113"/>
        <v>0</v>
      </c>
      <c r="T361" s="27">
        <f>SUM(T362:T362)</f>
        <v>0</v>
      </c>
      <c r="U361" s="27">
        <f>SUM(U362:U362)</f>
        <v>0</v>
      </c>
      <c r="V361" s="27">
        <f t="shared" si="114"/>
        <v>0</v>
      </c>
      <c r="W361" s="27">
        <f>SUM(W362:W362)</f>
        <v>0</v>
      </c>
      <c r="X361" s="27">
        <f>SUM(X362:X362)</f>
        <v>0</v>
      </c>
      <c r="Y361" s="27">
        <f t="shared" si="115"/>
        <v>0</v>
      </c>
      <c r="Z361" s="27">
        <f>SUM(Z362:Z362)</f>
        <v>0</v>
      </c>
      <c r="AA361" s="27">
        <f>SUM(AA362:AA362)</f>
        <v>0</v>
      </c>
      <c r="AB361" s="27">
        <f t="shared" si="116"/>
        <v>0</v>
      </c>
      <c r="AC361" s="27">
        <f>SUM(AC362:AC362)</f>
        <v>0</v>
      </c>
      <c r="AD361" s="27">
        <f>SUM(AD362:AD362)</f>
        <v>0</v>
      </c>
      <c r="AE361" s="27">
        <f t="shared" si="117"/>
        <v>0</v>
      </c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</row>
    <row r="362" spans="1:255" ht="31.5" x14ac:dyDescent="0.25">
      <c r="A362" s="41" t="s">
        <v>324</v>
      </c>
      <c r="B362" s="30">
        <v>2</v>
      </c>
      <c r="C362" s="30">
        <v>849</v>
      </c>
      <c r="D362" s="30">
        <v>5301</v>
      </c>
      <c r="E362" s="38">
        <f t="shared" si="109"/>
        <v>33000</v>
      </c>
      <c r="F362" s="38">
        <f t="shared" si="109"/>
        <v>33000</v>
      </c>
      <c r="G362" s="38">
        <f t="shared" si="109"/>
        <v>0</v>
      </c>
      <c r="H362" s="38">
        <v>0</v>
      </c>
      <c r="I362" s="38">
        <v>0</v>
      </c>
      <c r="J362" s="38">
        <f t="shared" si="110"/>
        <v>0</v>
      </c>
      <c r="K362" s="38">
        <v>0</v>
      </c>
      <c r="L362" s="38">
        <v>0</v>
      </c>
      <c r="M362" s="38">
        <f t="shared" si="111"/>
        <v>0</v>
      </c>
      <c r="N362" s="38">
        <v>33000</v>
      </c>
      <c r="O362" s="38">
        <v>33000</v>
      </c>
      <c r="P362" s="38">
        <f t="shared" si="112"/>
        <v>0</v>
      </c>
      <c r="Q362" s="38">
        <v>0</v>
      </c>
      <c r="R362" s="38">
        <v>0</v>
      </c>
      <c r="S362" s="38">
        <f t="shared" si="113"/>
        <v>0</v>
      </c>
      <c r="T362" s="38">
        <v>0</v>
      </c>
      <c r="U362" s="38">
        <v>0</v>
      </c>
      <c r="V362" s="38">
        <f t="shared" si="114"/>
        <v>0</v>
      </c>
      <c r="W362" s="38">
        <v>0</v>
      </c>
      <c r="X362" s="38">
        <v>0</v>
      </c>
      <c r="Y362" s="38">
        <f t="shared" si="115"/>
        <v>0</v>
      </c>
      <c r="Z362" s="38">
        <v>0</v>
      </c>
      <c r="AA362" s="38">
        <v>0</v>
      </c>
      <c r="AB362" s="38">
        <f t="shared" si="116"/>
        <v>0</v>
      </c>
      <c r="AC362" s="38">
        <v>0</v>
      </c>
      <c r="AD362" s="38">
        <v>0</v>
      </c>
      <c r="AE362" s="38">
        <f t="shared" si="117"/>
        <v>0</v>
      </c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</row>
    <row r="363" spans="1:255" x14ac:dyDescent="0.25">
      <c r="A363" s="49" t="s">
        <v>325</v>
      </c>
      <c r="B363" s="50"/>
      <c r="C363" s="50"/>
      <c r="D363" s="50"/>
      <c r="E363" s="27">
        <f t="shared" si="109"/>
        <v>40370</v>
      </c>
      <c r="F363" s="27">
        <f t="shared" si="109"/>
        <v>45170</v>
      </c>
      <c r="G363" s="27">
        <f t="shared" si="109"/>
        <v>4800</v>
      </c>
      <c r="H363" s="27">
        <f>SUM(H364)</f>
        <v>0</v>
      </c>
      <c r="I363" s="27">
        <f>SUM(I364)</f>
        <v>0</v>
      </c>
      <c r="J363" s="27">
        <f t="shared" si="110"/>
        <v>0</v>
      </c>
      <c r="K363" s="27">
        <f>SUM(K364)</f>
        <v>0</v>
      </c>
      <c r="L363" s="27">
        <f>SUM(L364)</f>
        <v>0</v>
      </c>
      <c r="M363" s="27">
        <f t="shared" si="111"/>
        <v>0</v>
      </c>
      <c r="N363" s="27">
        <f>SUM(N364)</f>
        <v>40370</v>
      </c>
      <c r="O363" s="27">
        <f>SUM(O364)</f>
        <v>45170</v>
      </c>
      <c r="P363" s="27">
        <f t="shared" si="112"/>
        <v>4800</v>
      </c>
      <c r="Q363" s="27">
        <f>SUM(Q364)</f>
        <v>0</v>
      </c>
      <c r="R363" s="27">
        <f>SUM(R364)</f>
        <v>0</v>
      </c>
      <c r="S363" s="27">
        <f t="shared" si="113"/>
        <v>0</v>
      </c>
      <c r="T363" s="27">
        <f>SUM(T364)</f>
        <v>0</v>
      </c>
      <c r="U363" s="27">
        <f>SUM(U364)</f>
        <v>0</v>
      </c>
      <c r="V363" s="27">
        <f t="shared" si="114"/>
        <v>0</v>
      </c>
      <c r="W363" s="27">
        <f>SUM(W364)</f>
        <v>0</v>
      </c>
      <c r="X363" s="27">
        <f>SUM(X364)</f>
        <v>0</v>
      </c>
      <c r="Y363" s="27">
        <f t="shared" si="115"/>
        <v>0</v>
      </c>
      <c r="Z363" s="27">
        <f>SUM(Z364)</f>
        <v>0</v>
      </c>
      <c r="AA363" s="27">
        <f>SUM(AA364)</f>
        <v>0</v>
      </c>
      <c r="AB363" s="27">
        <f t="shared" si="116"/>
        <v>0</v>
      </c>
      <c r="AC363" s="27">
        <f>SUM(AC364)</f>
        <v>0</v>
      </c>
      <c r="AD363" s="27">
        <f>SUM(AD364)</f>
        <v>0</v>
      </c>
      <c r="AE363" s="27">
        <f t="shared" si="117"/>
        <v>0</v>
      </c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</row>
    <row r="364" spans="1:255" ht="31.5" x14ac:dyDescent="0.25">
      <c r="A364" s="26" t="s">
        <v>81</v>
      </c>
      <c r="B364" s="34"/>
      <c r="C364" s="34"/>
      <c r="D364" s="34"/>
      <c r="E364" s="27">
        <f t="shared" si="109"/>
        <v>40370</v>
      </c>
      <c r="F364" s="27">
        <f t="shared" si="109"/>
        <v>45170</v>
      </c>
      <c r="G364" s="27">
        <f t="shared" si="109"/>
        <v>4800</v>
      </c>
      <c r="H364" s="27">
        <f>SUM(H365:H366)</f>
        <v>0</v>
      </c>
      <c r="I364" s="27">
        <f>SUM(I365:I366)</f>
        <v>0</v>
      </c>
      <c r="J364" s="27">
        <f t="shared" si="110"/>
        <v>0</v>
      </c>
      <c r="K364" s="27">
        <f t="shared" ref="K364:L364" si="125">SUM(K365:K366)</f>
        <v>0</v>
      </c>
      <c r="L364" s="27">
        <f t="shared" si="125"/>
        <v>0</v>
      </c>
      <c r="M364" s="27">
        <f t="shared" si="111"/>
        <v>0</v>
      </c>
      <c r="N364" s="27">
        <f t="shared" ref="N364:O364" si="126">SUM(N365:N366)</f>
        <v>40370</v>
      </c>
      <c r="O364" s="27">
        <f t="shared" si="126"/>
        <v>45170</v>
      </c>
      <c r="P364" s="27">
        <f t="shared" si="112"/>
        <v>4800</v>
      </c>
      <c r="Q364" s="27">
        <f t="shared" ref="Q364:R364" si="127">SUM(Q365:Q366)</f>
        <v>0</v>
      </c>
      <c r="R364" s="27">
        <f t="shared" si="127"/>
        <v>0</v>
      </c>
      <c r="S364" s="27">
        <f t="shared" si="113"/>
        <v>0</v>
      </c>
      <c r="T364" s="27">
        <f t="shared" ref="T364:U364" si="128">SUM(T365:T366)</f>
        <v>0</v>
      </c>
      <c r="U364" s="27">
        <f t="shared" si="128"/>
        <v>0</v>
      </c>
      <c r="V364" s="27">
        <f t="shared" si="114"/>
        <v>0</v>
      </c>
      <c r="W364" s="27">
        <f t="shared" ref="W364:X364" si="129">SUM(W365:W366)</f>
        <v>0</v>
      </c>
      <c r="X364" s="27">
        <f t="shared" si="129"/>
        <v>0</v>
      </c>
      <c r="Y364" s="27">
        <f t="shared" si="115"/>
        <v>0</v>
      </c>
      <c r="Z364" s="27">
        <f t="shared" ref="Z364:AA364" si="130">SUM(Z365:Z366)</f>
        <v>0</v>
      </c>
      <c r="AA364" s="27">
        <f t="shared" si="130"/>
        <v>0</v>
      </c>
      <c r="AB364" s="27">
        <f t="shared" si="116"/>
        <v>0</v>
      </c>
      <c r="AC364" s="27">
        <f t="shared" ref="AC364:AD364" si="131">SUM(AC365:AC366)</f>
        <v>0</v>
      </c>
      <c r="AD364" s="27">
        <f t="shared" si="131"/>
        <v>0</v>
      </c>
      <c r="AE364" s="27">
        <f t="shared" si="117"/>
        <v>0</v>
      </c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</row>
    <row r="365" spans="1:255" ht="47.25" x14ac:dyDescent="0.25">
      <c r="A365" s="39" t="s">
        <v>326</v>
      </c>
      <c r="B365" s="36">
        <v>2</v>
      </c>
      <c r="C365" s="36">
        <v>606</v>
      </c>
      <c r="D365" s="36">
        <v>5400</v>
      </c>
      <c r="E365" s="38">
        <f t="shared" si="109"/>
        <v>40370</v>
      </c>
      <c r="F365" s="38">
        <f t="shared" si="109"/>
        <v>40370</v>
      </c>
      <c r="G365" s="38">
        <f t="shared" si="109"/>
        <v>0</v>
      </c>
      <c r="H365" s="38">
        <v>0</v>
      </c>
      <c r="I365" s="38">
        <v>0</v>
      </c>
      <c r="J365" s="38">
        <f t="shared" si="110"/>
        <v>0</v>
      </c>
      <c r="K365" s="38">
        <v>0</v>
      </c>
      <c r="L365" s="38">
        <v>0</v>
      </c>
      <c r="M365" s="38">
        <f t="shared" si="111"/>
        <v>0</v>
      </c>
      <c r="N365" s="38">
        <v>40370</v>
      </c>
      <c r="O365" s="38">
        <v>40370</v>
      </c>
      <c r="P365" s="38">
        <f t="shared" si="112"/>
        <v>0</v>
      </c>
      <c r="Q365" s="38">
        <v>0</v>
      </c>
      <c r="R365" s="38">
        <v>0</v>
      </c>
      <c r="S365" s="38">
        <f t="shared" si="113"/>
        <v>0</v>
      </c>
      <c r="T365" s="38">
        <v>0</v>
      </c>
      <c r="U365" s="38">
        <v>0</v>
      </c>
      <c r="V365" s="38">
        <f t="shared" si="114"/>
        <v>0</v>
      </c>
      <c r="W365" s="38">
        <v>0</v>
      </c>
      <c r="X365" s="38">
        <v>0</v>
      </c>
      <c r="Y365" s="38">
        <f t="shared" si="115"/>
        <v>0</v>
      </c>
      <c r="Z365" s="38">
        <v>0</v>
      </c>
      <c r="AA365" s="38">
        <v>0</v>
      </c>
      <c r="AB365" s="38">
        <f t="shared" si="116"/>
        <v>0</v>
      </c>
      <c r="AC365" s="38">
        <v>0</v>
      </c>
      <c r="AD365" s="38">
        <v>0</v>
      </c>
      <c r="AE365" s="38">
        <f t="shared" si="117"/>
        <v>0</v>
      </c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</row>
    <row r="366" spans="1:255" ht="31.5" x14ac:dyDescent="0.25">
      <c r="A366" s="39" t="s">
        <v>327</v>
      </c>
      <c r="B366" s="36">
        <v>2</v>
      </c>
      <c r="C366" s="36">
        <v>619</v>
      </c>
      <c r="D366" s="36">
        <v>5400</v>
      </c>
      <c r="E366" s="38">
        <f t="shared" si="109"/>
        <v>0</v>
      </c>
      <c r="F366" s="38">
        <f t="shared" si="109"/>
        <v>4800</v>
      </c>
      <c r="G366" s="38">
        <f t="shared" si="109"/>
        <v>4800</v>
      </c>
      <c r="H366" s="38">
        <v>0</v>
      </c>
      <c r="I366" s="38">
        <v>0</v>
      </c>
      <c r="J366" s="38">
        <f t="shared" si="110"/>
        <v>0</v>
      </c>
      <c r="K366" s="38">
        <v>0</v>
      </c>
      <c r="L366" s="38">
        <v>0</v>
      </c>
      <c r="M366" s="38">
        <f t="shared" si="111"/>
        <v>0</v>
      </c>
      <c r="N366" s="38">
        <v>0</v>
      </c>
      <c r="O366" s="38">
        <v>4800</v>
      </c>
      <c r="P366" s="38">
        <f t="shared" si="112"/>
        <v>4800</v>
      </c>
      <c r="Q366" s="38">
        <v>0</v>
      </c>
      <c r="R366" s="38">
        <v>0</v>
      </c>
      <c r="S366" s="38">
        <f t="shared" si="113"/>
        <v>0</v>
      </c>
      <c r="T366" s="38">
        <v>0</v>
      </c>
      <c r="U366" s="38">
        <v>0</v>
      </c>
      <c r="V366" s="38">
        <f t="shared" si="114"/>
        <v>0</v>
      </c>
      <c r="W366" s="38">
        <v>0</v>
      </c>
      <c r="X366" s="38">
        <v>0</v>
      </c>
      <c r="Y366" s="38">
        <f t="shared" si="115"/>
        <v>0</v>
      </c>
      <c r="Z366" s="38">
        <v>0</v>
      </c>
      <c r="AA366" s="38">
        <v>0</v>
      </c>
      <c r="AB366" s="38">
        <f t="shared" si="116"/>
        <v>0</v>
      </c>
      <c r="AC366" s="38">
        <v>0</v>
      </c>
      <c r="AD366" s="38">
        <v>0</v>
      </c>
      <c r="AE366" s="38">
        <f t="shared" si="117"/>
        <v>0</v>
      </c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25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  <c r="IU366" s="7"/>
    </row>
    <row r="370" spans="1:255" x14ac:dyDescent="0.25">
      <c r="A370" s="51" t="s">
        <v>328</v>
      </c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  <c r="CR370" s="51"/>
      <c r="CS370" s="51"/>
      <c r="CT370" s="51"/>
      <c r="CU370" s="51"/>
      <c r="CV370" s="51"/>
      <c r="CW370" s="51"/>
      <c r="CX370" s="51"/>
      <c r="CY370" s="51"/>
      <c r="CZ370" s="51"/>
      <c r="DA370" s="51"/>
      <c r="DB370" s="51"/>
      <c r="DC370" s="51"/>
      <c r="DD370" s="51"/>
      <c r="DE370" s="51"/>
      <c r="DF370" s="51"/>
      <c r="DG370" s="51"/>
      <c r="DH370" s="51"/>
      <c r="DI370" s="51"/>
      <c r="DJ370" s="51"/>
      <c r="DK370" s="51"/>
      <c r="DL370" s="51"/>
      <c r="DM370" s="51"/>
      <c r="DN370" s="51"/>
      <c r="DO370" s="51"/>
      <c r="DP370" s="51"/>
      <c r="DQ370" s="51"/>
      <c r="DR370" s="51"/>
      <c r="DS370" s="51"/>
      <c r="DT370" s="51"/>
      <c r="DU370" s="51"/>
      <c r="DV370" s="51"/>
      <c r="DW370" s="51"/>
      <c r="DX370" s="51"/>
      <c r="DY370" s="51"/>
      <c r="DZ370" s="51"/>
      <c r="EA370" s="51"/>
      <c r="EB370" s="51"/>
      <c r="EC370" s="51"/>
      <c r="ED370" s="51"/>
      <c r="EE370" s="51"/>
      <c r="EF370" s="51"/>
      <c r="EG370" s="51"/>
      <c r="EH370" s="51"/>
      <c r="EI370" s="51"/>
      <c r="EJ370" s="51"/>
      <c r="EK370" s="51"/>
      <c r="EL370" s="51"/>
      <c r="EM370" s="51"/>
      <c r="EN370" s="51"/>
      <c r="EO370" s="51"/>
      <c r="EP370" s="51"/>
      <c r="EQ370" s="51"/>
      <c r="ER370" s="51"/>
      <c r="ES370" s="51"/>
      <c r="ET370" s="51"/>
      <c r="EU370" s="51"/>
      <c r="EV370" s="51"/>
      <c r="EW370" s="51"/>
      <c r="EX370" s="51"/>
      <c r="EY370" s="51"/>
      <c r="EZ370" s="51"/>
      <c r="FA370" s="51"/>
      <c r="FB370" s="51"/>
      <c r="FC370" s="51"/>
      <c r="FD370" s="51"/>
      <c r="FE370" s="51"/>
      <c r="FF370" s="51"/>
      <c r="FG370" s="51"/>
      <c r="FH370" s="51"/>
      <c r="FI370" s="51"/>
      <c r="FJ370" s="51"/>
      <c r="FK370" s="51"/>
      <c r="FL370" s="51"/>
      <c r="FM370" s="51"/>
      <c r="FN370" s="51"/>
      <c r="FO370" s="51"/>
      <c r="FP370" s="51"/>
      <c r="FQ370" s="51"/>
      <c r="FR370" s="51"/>
      <c r="FS370" s="51"/>
      <c r="FT370" s="51"/>
      <c r="FU370" s="51"/>
      <c r="FV370" s="51"/>
      <c r="FW370" s="51"/>
      <c r="FX370" s="51"/>
      <c r="FY370" s="51"/>
      <c r="FZ370" s="51"/>
      <c r="GA370" s="51"/>
      <c r="GB370" s="51"/>
      <c r="GC370" s="51"/>
      <c r="GD370" s="51"/>
      <c r="GE370" s="51"/>
      <c r="GF370" s="51"/>
      <c r="GG370" s="51"/>
      <c r="GH370" s="51"/>
      <c r="GI370" s="51"/>
      <c r="GJ370" s="51"/>
      <c r="GK370" s="51"/>
      <c r="GL370" s="51"/>
      <c r="GM370" s="51"/>
      <c r="GN370" s="51"/>
      <c r="GO370" s="51"/>
      <c r="GP370" s="51"/>
      <c r="GQ370" s="51"/>
      <c r="GR370" s="51"/>
      <c r="GS370" s="51"/>
      <c r="GT370" s="51"/>
      <c r="GU370" s="51"/>
      <c r="GV370" s="51"/>
      <c r="GW370" s="51"/>
      <c r="GX370" s="51"/>
      <c r="GY370" s="51"/>
      <c r="GZ370" s="51"/>
      <c r="HA370" s="51"/>
      <c r="HB370" s="51"/>
      <c r="HC370" s="51"/>
      <c r="HD370" s="51"/>
      <c r="HE370" s="51"/>
      <c r="HF370" s="51"/>
      <c r="HG370" s="51"/>
      <c r="HH370" s="51"/>
      <c r="HI370" s="51"/>
      <c r="HJ370" s="51"/>
      <c r="HK370" s="51"/>
      <c r="HL370" s="51"/>
      <c r="HM370" s="51"/>
      <c r="HN370" s="51"/>
      <c r="HO370" s="51"/>
      <c r="HP370" s="51"/>
      <c r="HQ370" s="51"/>
      <c r="HR370" s="51"/>
      <c r="HS370" s="51"/>
      <c r="HT370" s="51"/>
      <c r="HU370" s="51"/>
      <c r="HV370" s="51"/>
      <c r="HW370" s="51"/>
      <c r="HX370" s="51"/>
      <c r="HY370" s="51"/>
      <c r="HZ370" s="51"/>
      <c r="IA370" s="51"/>
      <c r="IB370" s="51"/>
      <c r="IC370" s="51"/>
      <c r="ID370" s="51"/>
      <c r="IE370" s="51"/>
      <c r="IF370" s="51"/>
      <c r="IG370" s="51"/>
      <c r="IH370" s="51"/>
      <c r="II370" s="51"/>
      <c r="IJ370" s="51"/>
      <c r="IK370" s="51"/>
      <c r="IL370" s="51"/>
      <c r="IM370" s="51"/>
      <c r="IN370" s="51"/>
      <c r="IO370" s="51"/>
      <c r="IP370" s="51"/>
      <c r="IQ370" s="51"/>
      <c r="IR370" s="51"/>
      <c r="IS370" s="51"/>
      <c r="IT370" s="51"/>
      <c r="IU370" s="51"/>
    </row>
    <row r="371" spans="1:255" x14ac:dyDescent="0.25">
      <c r="A371" s="52" t="s">
        <v>2</v>
      </c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  <c r="CC371" s="52"/>
      <c r="CD371" s="52"/>
      <c r="CE371" s="52"/>
      <c r="CF371" s="52"/>
      <c r="CG371" s="52"/>
      <c r="CH371" s="52"/>
      <c r="CI371" s="52"/>
      <c r="CJ371" s="52"/>
      <c r="CK371" s="52"/>
      <c r="CL371" s="52"/>
      <c r="CM371" s="52"/>
      <c r="CN371" s="52"/>
      <c r="CO371" s="52"/>
      <c r="CP371" s="52"/>
      <c r="CQ371" s="52"/>
      <c r="CR371" s="52"/>
      <c r="CS371" s="52"/>
      <c r="CT371" s="52"/>
      <c r="CU371" s="52"/>
      <c r="CV371" s="52"/>
      <c r="CW371" s="52"/>
      <c r="CX371" s="52"/>
      <c r="CY371" s="52"/>
      <c r="CZ371" s="52"/>
      <c r="DA371" s="52"/>
      <c r="DB371" s="52"/>
      <c r="DC371" s="52"/>
      <c r="DD371" s="52"/>
      <c r="DE371" s="52"/>
      <c r="DF371" s="52"/>
      <c r="DG371" s="52"/>
      <c r="DH371" s="52"/>
      <c r="DI371" s="52"/>
      <c r="DJ371" s="52"/>
      <c r="DK371" s="52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  <c r="DW371" s="52"/>
      <c r="DX371" s="52"/>
      <c r="DY371" s="52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  <c r="EY371" s="52"/>
      <c r="EZ371" s="52"/>
      <c r="FA371" s="52"/>
      <c r="FB371" s="52"/>
      <c r="FC371" s="52"/>
      <c r="FD371" s="52"/>
      <c r="FE371" s="52"/>
      <c r="FF371" s="52"/>
      <c r="FG371" s="52"/>
      <c r="FH371" s="52"/>
      <c r="FI371" s="52"/>
      <c r="FJ371" s="52"/>
      <c r="FK371" s="52"/>
      <c r="FL371" s="52"/>
      <c r="FM371" s="52"/>
      <c r="FN371" s="52"/>
      <c r="FO371" s="52"/>
      <c r="FP371" s="52"/>
      <c r="FQ371" s="52"/>
      <c r="FR371" s="52"/>
      <c r="FS371" s="52"/>
      <c r="FT371" s="52"/>
      <c r="FU371" s="52"/>
      <c r="FV371" s="52"/>
      <c r="FW371" s="52"/>
      <c r="FX371" s="52"/>
      <c r="FY371" s="52"/>
      <c r="FZ371" s="52"/>
      <c r="GA371" s="52"/>
      <c r="GB371" s="52"/>
      <c r="GC371" s="52"/>
      <c r="GD371" s="52"/>
      <c r="GE371" s="52"/>
      <c r="GF371" s="52"/>
      <c r="GG371" s="52"/>
      <c r="GH371" s="52"/>
      <c r="GI371" s="52"/>
      <c r="GJ371" s="52"/>
      <c r="GK371" s="52"/>
      <c r="GL371" s="52"/>
      <c r="GM371" s="52"/>
      <c r="GN371" s="52"/>
      <c r="GO371" s="52"/>
      <c r="GP371" s="52"/>
      <c r="GQ371" s="52"/>
      <c r="GR371" s="52"/>
      <c r="GS371" s="52"/>
      <c r="GT371" s="52"/>
      <c r="GU371" s="52"/>
      <c r="GV371" s="52"/>
      <c r="GW371" s="52"/>
      <c r="GX371" s="52"/>
      <c r="GY371" s="52"/>
      <c r="GZ371" s="52"/>
      <c r="HA371" s="52"/>
      <c r="HB371" s="52"/>
      <c r="HC371" s="52"/>
      <c r="HD371" s="52"/>
      <c r="HE371" s="52"/>
      <c r="HF371" s="52"/>
      <c r="HG371" s="52"/>
      <c r="HH371" s="52"/>
      <c r="HI371" s="52"/>
      <c r="HJ371" s="52"/>
      <c r="HK371" s="52"/>
      <c r="HL371" s="52"/>
      <c r="HM371" s="52"/>
      <c r="HN371" s="52"/>
      <c r="HO371" s="52"/>
      <c r="HP371" s="52"/>
      <c r="HQ371" s="52"/>
      <c r="HR371" s="52"/>
      <c r="HS371" s="52"/>
      <c r="HT371" s="52"/>
      <c r="HU371" s="52"/>
      <c r="HV371" s="52"/>
      <c r="HW371" s="52"/>
      <c r="HX371" s="52"/>
      <c r="HY371" s="52"/>
      <c r="HZ371" s="52"/>
      <c r="IA371" s="52"/>
      <c r="IB371" s="52"/>
      <c r="IC371" s="52"/>
      <c r="ID371" s="52"/>
      <c r="IE371" s="52"/>
      <c r="IF371" s="52"/>
      <c r="IG371" s="52"/>
      <c r="IH371" s="52"/>
      <c r="II371" s="52"/>
      <c r="IJ371" s="52"/>
      <c r="IK371" s="52"/>
      <c r="IL371" s="52"/>
      <c r="IM371" s="52"/>
      <c r="IN371" s="52"/>
      <c r="IO371" s="52"/>
      <c r="IP371" s="52"/>
      <c r="IQ371" s="52"/>
      <c r="IR371" s="52"/>
      <c r="IS371" s="52"/>
      <c r="IT371" s="52"/>
      <c r="IU371" s="52"/>
    </row>
    <row r="372" spans="1:255" x14ac:dyDescent="0.25">
      <c r="A372" s="53"/>
      <c r="GG372" s="54"/>
      <c r="GH372" s="54"/>
      <c r="GI372" s="54"/>
      <c r="GJ372" s="54"/>
      <c r="GK372" s="54"/>
      <c r="GL372" s="54"/>
      <c r="GM372" s="54"/>
      <c r="GN372" s="54"/>
      <c r="GO372" s="54"/>
      <c r="GP372" s="54"/>
      <c r="GQ372" s="54"/>
      <c r="GR372" s="54"/>
      <c r="GS372" s="54"/>
      <c r="GT372" s="54"/>
      <c r="GU372" s="54"/>
      <c r="GV372" s="54"/>
      <c r="GW372" s="54"/>
      <c r="GX372" s="54"/>
      <c r="GY372" s="54"/>
      <c r="GZ372" s="54"/>
      <c r="HA372" s="54"/>
      <c r="HB372" s="54"/>
      <c r="HC372" s="54"/>
      <c r="HD372" s="54"/>
      <c r="HE372" s="54"/>
      <c r="HF372" s="54"/>
      <c r="HG372" s="54"/>
      <c r="HH372" s="54"/>
      <c r="HI372" s="54"/>
      <c r="HJ372" s="54"/>
      <c r="HK372" s="54"/>
      <c r="HL372" s="54"/>
      <c r="HM372" s="54"/>
      <c r="HN372" s="54"/>
      <c r="HO372" s="54"/>
      <c r="HP372" s="54"/>
      <c r="HQ372" s="54"/>
      <c r="HR372" s="54"/>
      <c r="HS372" s="54"/>
      <c r="HT372" s="54"/>
      <c r="HU372" s="54"/>
      <c r="HV372" s="54"/>
      <c r="HW372" s="54"/>
      <c r="HX372" s="54"/>
      <c r="HY372" s="54"/>
      <c r="HZ372" s="54"/>
      <c r="IA372" s="54"/>
      <c r="IB372" s="54"/>
      <c r="IC372" s="54"/>
      <c r="ID372" s="54"/>
      <c r="IE372" s="54"/>
      <c r="IF372" s="54"/>
      <c r="IG372" s="54"/>
      <c r="IH372" s="54"/>
      <c r="II372" s="54"/>
      <c r="IJ372" s="54"/>
      <c r="IK372" s="54"/>
      <c r="IL372" s="54"/>
      <c r="IM372" s="54"/>
      <c r="IN372" s="54"/>
      <c r="IO372" s="54"/>
      <c r="IP372" s="54"/>
      <c r="IQ372" s="54"/>
      <c r="IR372" s="54"/>
      <c r="IS372" s="54"/>
      <c r="IT372" s="54"/>
      <c r="IU372" s="54"/>
    </row>
    <row r="373" spans="1:255" x14ac:dyDescent="0.25">
      <c r="A373" s="54" t="s">
        <v>329</v>
      </c>
    </row>
    <row r="374" spans="1:255" x14ac:dyDescent="0.25">
      <c r="A374" s="55" t="s">
        <v>330</v>
      </c>
    </row>
    <row r="375" spans="1:255" x14ac:dyDescent="0.25">
      <c r="A375" s="56" t="s">
        <v>331</v>
      </c>
    </row>
    <row r="376" spans="1:255" x14ac:dyDescent="0.25">
      <c r="A376" s="54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 x14ac:dyDescent="0.25">
      <c r="A377" s="57" t="s">
        <v>401</v>
      </c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 x14ac:dyDescent="0.25">
      <c r="A378" s="58" t="s">
        <v>402</v>
      </c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 x14ac:dyDescent="0.25">
      <c r="A379" s="2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 x14ac:dyDescent="0.25">
      <c r="A380" s="54" t="s">
        <v>3</v>
      </c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 x14ac:dyDescent="0.25">
      <c r="A381" s="54" t="s">
        <v>332</v>
      </c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 x14ac:dyDescent="0.25">
      <c r="A382" s="54" t="s">
        <v>333</v>
      </c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</sheetData>
  <autoFilter ref="A1:IU382"/>
  <pageMargins left="0.31496062992125984" right="0.31496062992125984" top="0.35433070866141736" bottom="0.35433070866141736" header="0.11811023622047245" footer="0.11811023622047245"/>
  <pageSetup paperSize="8" scale="47" fitToHeight="0" orientation="landscape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Normal="100" zoomScaleSheetLayoutView="100" workbookViewId="0">
      <selection activeCell="A77" sqref="A77"/>
    </sheetView>
  </sheetViews>
  <sheetFormatPr defaultRowHeight="12" x14ac:dyDescent="0.2"/>
  <cols>
    <col min="1" max="1" width="5.42578125" style="66" customWidth="1"/>
    <col min="2" max="2" width="10.85546875" style="69" customWidth="1"/>
    <col min="3" max="3" width="60.7109375" style="66" customWidth="1"/>
    <col min="4" max="4" width="12.42578125" style="66" hidden="1" customWidth="1"/>
    <col min="5" max="5" width="12" style="66" hidden="1" customWidth="1"/>
    <col min="6" max="6" width="11.7109375" style="66" hidden="1" customWidth="1"/>
    <col min="7" max="7" width="11.28515625" style="66" hidden="1" customWidth="1"/>
    <col min="8" max="8" width="10.7109375" style="66" customWidth="1"/>
    <col min="9" max="9" width="14.28515625" style="66" customWidth="1"/>
    <col min="10" max="10" width="11.7109375" style="66" customWidth="1"/>
    <col min="11" max="11" width="14.140625" style="66" customWidth="1"/>
    <col min="12" max="215" width="9.140625" style="66"/>
    <col min="216" max="216" width="5.140625" style="66" customWidth="1"/>
    <col min="217" max="217" width="63.85546875" style="66" customWidth="1"/>
    <col min="218" max="219" width="0" style="66" hidden="1" customWidth="1"/>
    <col min="220" max="220" width="11" style="66" customWidth="1"/>
    <col min="221" max="221" width="11.5703125" style="66" customWidth="1"/>
    <col min="222" max="222" width="11" style="66" customWidth="1"/>
    <col min="223" max="223" width="11.5703125" style="66" customWidth="1"/>
    <col min="224" max="471" width="9.140625" style="66"/>
    <col min="472" max="472" width="5.140625" style="66" customWidth="1"/>
    <col min="473" max="473" width="63.85546875" style="66" customWidth="1"/>
    <col min="474" max="475" width="0" style="66" hidden="1" customWidth="1"/>
    <col min="476" max="476" width="11" style="66" customWidth="1"/>
    <col min="477" max="477" width="11.5703125" style="66" customWidth="1"/>
    <col min="478" max="478" width="11" style="66" customWidth="1"/>
    <col min="479" max="479" width="11.5703125" style="66" customWidth="1"/>
    <col min="480" max="727" width="9.140625" style="66"/>
    <col min="728" max="728" width="5.140625" style="66" customWidth="1"/>
    <col min="729" max="729" width="63.85546875" style="66" customWidth="1"/>
    <col min="730" max="731" width="0" style="66" hidden="1" customWidth="1"/>
    <col min="732" max="732" width="11" style="66" customWidth="1"/>
    <col min="733" max="733" width="11.5703125" style="66" customWidth="1"/>
    <col min="734" max="734" width="11" style="66" customWidth="1"/>
    <col min="735" max="735" width="11.5703125" style="66" customWidth="1"/>
    <col min="736" max="983" width="9.140625" style="66"/>
    <col min="984" max="984" width="5.140625" style="66" customWidth="1"/>
    <col min="985" max="985" width="63.85546875" style="66" customWidth="1"/>
    <col min="986" max="987" width="0" style="66" hidden="1" customWidth="1"/>
    <col min="988" max="988" width="11" style="66" customWidth="1"/>
    <col min="989" max="989" width="11.5703125" style="66" customWidth="1"/>
    <col min="990" max="990" width="11" style="66" customWidth="1"/>
    <col min="991" max="991" width="11.5703125" style="66" customWidth="1"/>
    <col min="992" max="1239" width="9.140625" style="66"/>
    <col min="1240" max="1240" width="5.140625" style="66" customWidth="1"/>
    <col min="1241" max="1241" width="63.85546875" style="66" customWidth="1"/>
    <col min="1242" max="1243" width="0" style="66" hidden="1" customWidth="1"/>
    <col min="1244" max="1244" width="11" style="66" customWidth="1"/>
    <col min="1245" max="1245" width="11.5703125" style="66" customWidth="1"/>
    <col min="1246" max="1246" width="11" style="66" customWidth="1"/>
    <col min="1247" max="1247" width="11.5703125" style="66" customWidth="1"/>
    <col min="1248" max="1495" width="9.140625" style="66"/>
    <col min="1496" max="1496" width="5.140625" style="66" customWidth="1"/>
    <col min="1497" max="1497" width="63.85546875" style="66" customWidth="1"/>
    <col min="1498" max="1499" width="0" style="66" hidden="1" customWidth="1"/>
    <col min="1500" max="1500" width="11" style="66" customWidth="1"/>
    <col min="1501" max="1501" width="11.5703125" style="66" customWidth="1"/>
    <col min="1502" max="1502" width="11" style="66" customWidth="1"/>
    <col min="1503" max="1503" width="11.5703125" style="66" customWidth="1"/>
    <col min="1504" max="1751" width="9.140625" style="66"/>
    <col min="1752" max="1752" width="5.140625" style="66" customWidth="1"/>
    <col min="1753" max="1753" width="63.85546875" style="66" customWidth="1"/>
    <col min="1754" max="1755" width="0" style="66" hidden="1" customWidth="1"/>
    <col min="1756" max="1756" width="11" style="66" customWidth="1"/>
    <col min="1757" max="1757" width="11.5703125" style="66" customWidth="1"/>
    <col min="1758" max="1758" width="11" style="66" customWidth="1"/>
    <col min="1759" max="1759" width="11.5703125" style="66" customWidth="1"/>
    <col min="1760" max="2007" width="9.140625" style="66"/>
    <col min="2008" max="2008" width="5.140625" style="66" customWidth="1"/>
    <col min="2009" max="2009" width="63.85546875" style="66" customWidth="1"/>
    <col min="2010" max="2011" width="0" style="66" hidden="1" customWidth="1"/>
    <col min="2012" max="2012" width="11" style="66" customWidth="1"/>
    <col min="2013" max="2013" width="11.5703125" style="66" customWidth="1"/>
    <col min="2014" max="2014" width="11" style="66" customWidth="1"/>
    <col min="2015" max="2015" width="11.5703125" style="66" customWidth="1"/>
    <col min="2016" max="2263" width="9.140625" style="66"/>
    <col min="2264" max="2264" width="5.140625" style="66" customWidth="1"/>
    <col min="2265" max="2265" width="63.85546875" style="66" customWidth="1"/>
    <col min="2266" max="2267" width="0" style="66" hidden="1" customWidth="1"/>
    <col min="2268" max="2268" width="11" style="66" customWidth="1"/>
    <col min="2269" max="2269" width="11.5703125" style="66" customWidth="1"/>
    <col min="2270" max="2270" width="11" style="66" customWidth="1"/>
    <col min="2271" max="2271" width="11.5703125" style="66" customWidth="1"/>
    <col min="2272" max="2519" width="9.140625" style="66"/>
    <col min="2520" max="2520" width="5.140625" style="66" customWidth="1"/>
    <col min="2521" max="2521" width="63.85546875" style="66" customWidth="1"/>
    <col min="2522" max="2523" width="0" style="66" hidden="1" customWidth="1"/>
    <col min="2524" max="2524" width="11" style="66" customWidth="1"/>
    <col min="2525" max="2525" width="11.5703125" style="66" customWidth="1"/>
    <col min="2526" max="2526" width="11" style="66" customWidth="1"/>
    <col min="2527" max="2527" width="11.5703125" style="66" customWidth="1"/>
    <col min="2528" max="2775" width="9.140625" style="66"/>
    <col min="2776" max="2776" width="5.140625" style="66" customWidth="1"/>
    <col min="2777" max="2777" width="63.85546875" style="66" customWidth="1"/>
    <col min="2778" max="2779" width="0" style="66" hidden="1" customWidth="1"/>
    <col min="2780" max="2780" width="11" style="66" customWidth="1"/>
    <col min="2781" max="2781" width="11.5703125" style="66" customWidth="1"/>
    <col min="2782" max="2782" width="11" style="66" customWidth="1"/>
    <col min="2783" max="2783" width="11.5703125" style="66" customWidth="1"/>
    <col min="2784" max="3031" width="9.140625" style="66"/>
    <col min="3032" max="3032" width="5.140625" style="66" customWidth="1"/>
    <col min="3033" max="3033" width="63.85546875" style="66" customWidth="1"/>
    <col min="3034" max="3035" width="0" style="66" hidden="1" customWidth="1"/>
    <col min="3036" max="3036" width="11" style="66" customWidth="1"/>
    <col min="3037" max="3037" width="11.5703125" style="66" customWidth="1"/>
    <col min="3038" max="3038" width="11" style="66" customWidth="1"/>
    <col min="3039" max="3039" width="11.5703125" style="66" customWidth="1"/>
    <col min="3040" max="3287" width="9.140625" style="66"/>
    <col min="3288" max="3288" width="5.140625" style="66" customWidth="1"/>
    <col min="3289" max="3289" width="63.85546875" style="66" customWidth="1"/>
    <col min="3290" max="3291" width="0" style="66" hidden="1" customWidth="1"/>
    <col min="3292" max="3292" width="11" style="66" customWidth="1"/>
    <col min="3293" max="3293" width="11.5703125" style="66" customWidth="1"/>
    <col min="3294" max="3294" width="11" style="66" customWidth="1"/>
    <col min="3295" max="3295" width="11.5703125" style="66" customWidth="1"/>
    <col min="3296" max="3543" width="9.140625" style="66"/>
    <col min="3544" max="3544" width="5.140625" style="66" customWidth="1"/>
    <col min="3545" max="3545" width="63.85546875" style="66" customWidth="1"/>
    <col min="3546" max="3547" width="0" style="66" hidden="1" customWidth="1"/>
    <col min="3548" max="3548" width="11" style="66" customWidth="1"/>
    <col min="3549" max="3549" width="11.5703125" style="66" customWidth="1"/>
    <col min="3550" max="3550" width="11" style="66" customWidth="1"/>
    <col min="3551" max="3551" width="11.5703125" style="66" customWidth="1"/>
    <col min="3552" max="3799" width="9.140625" style="66"/>
    <col min="3800" max="3800" width="5.140625" style="66" customWidth="1"/>
    <col min="3801" max="3801" width="63.85546875" style="66" customWidth="1"/>
    <col min="3802" max="3803" width="0" style="66" hidden="1" customWidth="1"/>
    <col min="3804" max="3804" width="11" style="66" customWidth="1"/>
    <col min="3805" max="3805" width="11.5703125" style="66" customWidth="1"/>
    <col min="3806" max="3806" width="11" style="66" customWidth="1"/>
    <col min="3807" max="3807" width="11.5703125" style="66" customWidth="1"/>
    <col min="3808" max="4055" width="9.140625" style="66"/>
    <col min="4056" max="4056" width="5.140625" style="66" customWidth="1"/>
    <col min="4057" max="4057" width="63.85546875" style="66" customWidth="1"/>
    <col min="4058" max="4059" width="0" style="66" hidden="1" customWidth="1"/>
    <col min="4060" max="4060" width="11" style="66" customWidth="1"/>
    <col min="4061" max="4061" width="11.5703125" style="66" customWidth="1"/>
    <col min="4062" max="4062" width="11" style="66" customWidth="1"/>
    <col min="4063" max="4063" width="11.5703125" style="66" customWidth="1"/>
    <col min="4064" max="4311" width="9.140625" style="66"/>
    <col min="4312" max="4312" width="5.140625" style="66" customWidth="1"/>
    <col min="4313" max="4313" width="63.85546875" style="66" customWidth="1"/>
    <col min="4314" max="4315" width="0" style="66" hidden="1" customWidth="1"/>
    <col min="4316" max="4316" width="11" style="66" customWidth="1"/>
    <col min="4317" max="4317" width="11.5703125" style="66" customWidth="1"/>
    <col min="4318" max="4318" width="11" style="66" customWidth="1"/>
    <col min="4319" max="4319" width="11.5703125" style="66" customWidth="1"/>
    <col min="4320" max="4567" width="9.140625" style="66"/>
    <col min="4568" max="4568" width="5.140625" style="66" customWidth="1"/>
    <col min="4569" max="4569" width="63.85546875" style="66" customWidth="1"/>
    <col min="4570" max="4571" width="0" style="66" hidden="1" customWidth="1"/>
    <col min="4572" max="4572" width="11" style="66" customWidth="1"/>
    <col min="4573" max="4573" width="11.5703125" style="66" customWidth="1"/>
    <col min="4574" max="4574" width="11" style="66" customWidth="1"/>
    <col min="4575" max="4575" width="11.5703125" style="66" customWidth="1"/>
    <col min="4576" max="4823" width="9.140625" style="66"/>
    <col min="4824" max="4824" width="5.140625" style="66" customWidth="1"/>
    <col min="4825" max="4825" width="63.85546875" style="66" customWidth="1"/>
    <col min="4826" max="4827" width="0" style="66" hidden="1" customWidth="1"/>
    <col min="4828" max="4828" width="11" style="66" customWidth="1"/>
    <col min="4829" max="4829" width="11.5703125" style="66" customWidth="1"/>
    <col min="4830" max="4830" width="11" style="66" customWidth="1"/>
    <col min="4831" max="4831" width="11.5703125" style="66" customWidth="1"/>
    <col min="4832" max="5079" width="9.140625" style="66"/>
    <col min="5080" max="5080" width="5.140625" style="66" customWidth="1"/>
    <col min="5081" max="5081" width="63.85546875" style="66" customWidth="1"/>
    <col min="5082" max="5083" width="0" style="66" hidden="1" customWidth="1"/>
    <col min="5084" max="5084" width="11" style="66" customWidth="1"/>
    <col min="5085" max="5085" width="11.5703125" style="66" customWidth="1"/>
    <col min="5086" max="5086" width="11" style="66" customWidth="1"/>
    <col min="5087" max="5087" width="11.5703125" style="66" customWidth="1"/>
    <col min="5088" max="5335" width="9.140625" style="66"/>
    <col min="5336" max="5336" width="5.140625" style="66" customWidth="1"/>
    <col min="5337" max="5337" width="63.85546875" style="66" customWidth="1"/>
    <col min="5338" max="5339" width="0" style="66" hidden="1" customWidth="1"/>
    <col min="5340" max="5340" width="11" style="66" customWidth="1"/>
    <col min="5341" max="5341" width="11.5703125" style="66" customWidth="1"/>
    <col min="5342" max="5342" width="11" style="66" customWidth="1"/>
    <col min="5343" max="5343" width="11.5703125" style="66" customWidth="1"/>
    <col min="5344" max="5591" width="9.140625" style="66"/>
    <col min="5592" max="5592" width="5.140625" style="66" customWidth="1"/>
    <col min="5593" max="5593" width="63.85546875" style="66" customWidth="1"/>
    <col min="5594" max="5595" width="0" style="66" hidden="1" customWidth="1"/>
    <col min="5596" max="5596" width="11" style="66" customWidth="1"/>
    <col min="5597" max="5597" width="11.5703125" style="66" customWidth="1"/>
    <col min="5598" max="5598" width="11" style="66" customWidth="1"/>
    <col min="5599" max="5599" width="11.5703125" style="66" customWidth="1"/>
    <col min="5600" max="5847" width="9.140625" style="66"/>
    <col min="5848" max="5848" width="5.140625" style="66" customWidth="1"/>
    <col min="5849" max="5849" width="63.85546875" style="66" customWidth="1"/>
    <col min="5850" max="5851" width="0" style="66" hidden="1" customWidth="1"/>
    <col min="5852" max="5852" width="11" style="66" customWidth="1"/>
    <col min="5853" max="5853" width="11.5703125" style="66" customWidth="1"/>
    <col min="5854" max="5854" width="11" style="66" customWidth="1"/>
    <col min="5855" max="5855" width="11.5703125" style="66" customWidth="1"/>
    <col min="5856" max="6103" width="9.140625" style="66"/>
    <col min="6104" max="6104" width="5.140625" style="66" customWidth="1"/>
    <col min="6105" max="6105" width="63.85546875" style="66" customWidth="1"/>
    <col min="6106" max="6107" width="0" style="66" hidden="1" customWidth="1"/>
    <col min="6108" max="6108" width="11" style="66" customWidth="1"/>
    <col min="6109" max="6109" width="11.5703125" style="66" customWidth="1"/>
    <col min="6110" max="6110" width="11" style="66" customWidth="1"/>
    <col min="6111" max="6111" width="11.5703125" style="66" customWidth="1"/>
    <col min="6112" max="6359" width="9.140625" style="66"/>
    <col min="6360" max="6360" width="5.140625" style="66" customWidth="1"/>
    <col min="6361" max="6361" width="63.85546875" style="66" customWidth="1"/>
    <col min="6362" max="6363" width="0" style="66" hidden="1" customWidth="1"/>
    <col min="6364" max="6364" width="11" style="66" customWidth="1"/>
    <col min="6365" max="6365" width="11.5703125" style="66" customWidth="1"/>
    <col min="6366" max="6366" width="11" style="66" customWidth="1"/>
    <col min="6367" max="6367" width="11.5703125" style="66" customWidth="1"/>
    <col min="6368" max="6615" width="9.140625" style="66"/>
    <col min="6616" max="6616" width="5.140625" style="66" customWidth="1"/>
    <col min="6617" max="6617" width="63.85546875" style="66" customWidth="1"/>
    <col min="6618" max="6619" width="0" style="66" hidden="1" customWidth="1"/>
    <col min="6620" max="6620" width="11" style="66" customWidth="1"/>
    <col min="6621" max="6621" width="11.5703125" style="66" customWidth="1"/>
    <col min="6622" max="6622" width="11" style="66" customWidth="1"/>
    <col min="6623" max="6623" width="11.5703125" style="66" customWidth="1"/>
    <col min="6624" max="6871" width="9.140625" style="66"/>
    <col min="6872" max="6872" width="5.140625" style="66" customWidth="1"/>
    <col min="6873" max="6873" width="63.85546875" style="66" customWidth="1"/>
    <col min="6874" max="6875" width="0" style="66" hidden="1" customWidth="1"/>
    <col min="6876" max="6876" width="11" style="66" customWidth="1"/>
    <col min="6877" max="6877" width="11.5703125" style="66" customWidth="1"/>
    <col min="6878" max="6878" width="11" style="66" customWidth="1"/>
    <col min="6879" max="6879" width="11.5703125" style="66" customWidth="1"/>
    <col min="6880" max="7127" width="9.140625" style="66"/>
    <col min="7128" max="7128" width="5.140625" style="66" customWidth="1"/>
    <col min="7129" max="7129" width="63.85546875" style="66" customWidth="1"/>
    <col min="7130" max="7131" width="0" style="66" hidden="1" customWidth="1"/>
    <col min="7132" max="7132" width="11" style="66" customWidth="1"/>
    <col min="7133" max="7133" width="11.5703125" style="66" customWidth="1"/>
    <col min="7134" max="7134" width="11" style="66" customWidth="1"/>
    <col min="7135" max="7135" width="11.5703125" style="66" customWidth="1"/>
    <col min="7136" max="7383" width="9.140625" style="66"/>
    <col min="7384" max="7384" width="5.140625" style="66" customWidth="1"/>
    <col min="7385" max="7385" width="63.85546875" style="66" customWidth="1"/>
    <col min="7386" max="7387" width="0" style="66" hidden="1" customWidth="1"/>
    <col min="7388" max="7388" width="11" style="66" customWidth="1"/>
    <col min="7389" max="7389" width="11.5703125" style="66" customWidth="1"/>
    <col min="7390" max="7390" width="11" style="66" customWidth="1"/>
    <col min="7391" max="7391" width="11.5703125" style="66" customWidth="1"/>
    <col min="7392" max="7639" width="9.140625" style="66"/>
    <col min="7640" max="7640" width="5.140625" style="66" customWidth="1"/>
    <col min="7641" max="7641" width="63.85546875" style="66" customWidth="1"/>
    <col min="7642" max="7643" width="0" style="66" hidden="1" customWidth="1"/>
    <col min="7644" max="7644" width="11" style="66" customWidth="1"/>
    <col min="7645" max="7645" width="11.5703125" style="66" customWidth="1"/>
    <col min="7646" max="7646" width="11" style="66" customWidth="1"/>
    <col min="7647" max="7647" width="11.5703125" style="66" customWidth="1"/>
    <col min="7648" max="7895" width="9.140625" style="66"/>
    <col min="7896" max="7896" width="5.140625" style="66" customWidth="1"/>
    <col min="7897" max="7897" width="63.85546875" style="66" customWidth="1"/>
    <col min="7898" max="7899" width="0" style="66" hidden="1" customWidth="1"/>
    <col min="7900" max="7900" width="11" style="66" customWidth="1"/>
    <col min="7901" max="7901" width="11.5703125" style="66" customWidth="1"/>
    <col min="7902" max="7902" width="11" style="66" customWidth="1"/>
    <col min="7903" max="7903" width="11.5703125" style="66" customWidth="1"/>
    <col min="7904" max="8151" width="9.140625" style="66"/>
    <col min="8152" max="8152" width="5.140625" style="66" customWidth="1"/>
    <col min="8153" max="8153" width="63.85546875" style="66" customWidth="1"/>
    <col min="8154" max="8155" width="0" style="66" hidden="1" customWidth="1"/>
    <col min="8156" max="8156" width="11" style="66" customWidth="1"/>
    <col min="8157" max="8157" width="11.5703125" style="66" customWidth="1"/>
    <col min="8158" max="8158" width="11" style="66" customWidth="1"/>
    <col min="8159" max="8159" width="11.5703125" style="66" customWidth="1"/>
    <col min="8160" max="8407" width="9.140625" style="66"/>
    <col min="8408" max="8408" width="5.140625" style="66" customWidth="1"/>
    <col min="8409" max="8409" width="63.85546875" style="66" customWidth="1"/>
    <col min="8410" max="8411" width="0" style="66" hidden="1" customWidth="1"/>
    <col min="8412" max="8412" width="11" style="66" customWidth="1"/>
    <col min="8413" max="8413" width="11.5703125" style="66" customWidth="1"/>
    <col min="8414" max="8414" width="11" style="66" customWidth="1"/>
    <col min="8415" max="8415" width="11.5703125" style="66" customWidth="1"/>
    <col min="8416" max="8663" width="9.140625" style="66"/>
    <col min="8664" max="8664" width="5.140625" style="66" customWidth="1"/>
    <col min="8665" max="8665" width="63.85546875" style="66" customWidth="1"/>
    <col min="8666" max="8667" width="0" style="66" hidden="1" customWidth="1"/>
    <col min="8668" max="8668" width="11" style="66" customWidth="1"/>
    <col min="8669" max="8669" width="11.5703125" style="66" customWidth="1"/>
    <col min="8670" max="8670" width="11" style="66" customWidth="1"/>
    <col min="8671" max="8671" width="11.5703125" style="66" customWidth="1"/>
    <col min="8672" max="8919" width="9.140625" style="66"/>
    <col min="8920" max="8920" width="5.140625" style="66" customWidth="1"/>
    <col min="8921" max="8921" width="63.85546875" style="66" customWidth="1"/>
    <col min="8922" max="8923" width="0" style="66" hidden="1" customWidth="1"/>
    <col min="8924" max="8924" width="11" style="66" customWidth="1"/>
    <col min="8925" max="8925" width="11.5703125" style="66" customWidth="1"/>
    <col min="8926" max="8926" width="11" style="66" customWidth="1"/>
    <col min="8927" max="8927" width="11.5703125" style="66" customWidth="1"/>
    <col min="8928" max="9175" width="9.140625" style="66"/>
    <col min="9176" max="9176" width="5.140625" style="66" customWidth="1"/>
    <col min="9177" max="9177" width="63.85546875" style="66" customWidth="1"/>
    <col min="9178" max="9179" width="0" style="66" hidden="1" customWidth="1"/>
    <col min="9180" max="9180" width="11" style="66" customWidth="1"/>
    <col min="9181" max="9181" width="11.5703125" style="66" customWidth="1"/>
    <col min="9182" max="9182" width="11" style="66" customWidth="1"/>
    <col min="9183" max="9183" width="11.5703125" style="66" customWidth="1"/>
    <col min="9184" max="9431" width="9.140625" style="66"/>
    <col min="9432" max="9432" width="5.140625" style="66" customWidth="1"/>
    <col min="9433" max="9433" width="63.85546875" style="66" customWidth="1"/>
    <col min="9434" max="9435" width="0" style="66" hidden="1" customWidth="1"/>
    <col min="9436" max="9436" width="11" style="66" customWidth="1"/>
    <col min="9437" max="9437" width="11.5703125" style="66" customWidth="1"/>
    <col min="9438" max="9438" width="11" style="66" customWidth="1"/>
    <col min="9439" max="9439" width="11.5703125" style="66" customWidth="1"/>
    <col min="9440" max="9687" width="9.140625" style="66"/>
    <col min="9688" max="9688" width="5.140625" style="66" customWidth="1"/>
    <col min="9689" max="9689" width="63.85546875" style="66" customWidth="1"/>
    <col min="9690" max="9691" width="0" style="66" hidden="1" customWidth="1"/>
    <col min="9692" max="9692" width="11" style="66" customWidth="1"/>
    <col min="9693" max="9693" width="11.5703125" style="66" customWidth="1"/>
    <col min="9694" max="9694" width="11" style="66" customWidth="1"/>
    <col min="9695" max="9695" width="11.5703125" style="66" customWidth="1"/>
    <col min="9696" max="9943" width="9.140625" style="66"/>
    <col min="9944" max="9944" width="5.140625" style="66" customWidth="1"/>
    <col min="9945" max="9945" width="63.85546875" style="66" customWidth="1"/>
    <col min="9946" max="9947" width="0" style="66" hidden="1" customWidth="1"/>
    <col min="9948" max="9948" width="11" style="66" customWidth="1"/>
    <col min="9949" max="9949" width="11.5703125" style="66" customWidth="1"/>
    <col min="9950" max="9950" width="11" style="66" customWidth="1"/>
    <col min="9951" max="9951" width="11.5703125" style="66" customWidth="1"/>
    <col min="9952" max="10199" width="9.140625" style="66"/>
    <col min="10200" max="10200" width="5.140625" style="66" customWidth="1"/>
    <col min="10201" max="10201" width="63.85546875" style="66" customWidth="1"/>
    <col min="10202" max="10203" width="0" style="66" hidden="1" customWidth="1"/>
    <col min="10204" max="10204" width="11" style="66" customWidth="1"/>
    <col min="10205" max="10205" width="11.5703125" style="66" customWidth="1"/>
    <col min="10206" max="10206" width="11" style="66" customWidth="1"/>
    <col min="10207" max="10207" width="11.5703125" style="66" customWidth="1"/>
    <col min="10208" max="10455" width="9.140625" style="66"/>
    <col min="10456" max="10456" width="5.140625" style="66" customWidth="1"/>
    <col min="10457" max="10457" width="63.85546875" style="66" customWidth="1"/>
    <col min="10458" max="10459" width="0" style="66" hidden="1" customWidth="1"/>
    <col min="10460" max="10460" width="11" style="66" customWidth="1"/>
    <col min="10461" max="10461" width="11.5703125" style="66" customWidth="1"/>
    <col min="10462" max="10462" width="11" style="66" customWidth="1"/>
    <col min="10463" max="10463" width="11.5703125" style="66" customWidth="1"/>
    <col min="10464" max="10711" width="9.140625" style="66"/>
    <col min="10712" max="10712" width="5.140625" style="66" customWidth="1"/>
    <col min="10713" max="10713" width="63.85546875" style="66" customWidth="1"/>
    <col min="10714" max="10715" width="0" style="66" hidden="1" customWidth="1"/>
    <col min="10716" max="10716" width="11" style="66" customWidth="1"/>
    <col min="10717" max="10717" width="11.5703125" style="66" customWidth="1"/>
    <col min="10718" max="10718" width="11" style="66" customWidth="1"/>
    <col min="10719" max="10719" width="11.5703125" style="66" customWidth="1"/>
    <col min="10720" max="10967" width="9.140625" style="66"/>
    <col min="10968" max="10968" width="5.140625" style="66" customWidth="1"/>
    <col min="10969" max="10969" width="63.85546875" style="66" customWidth="1"/>
    <col min="10970" max="10971" width="0" style="66" hidden="1" customWidth="1"/>
    <col min="10972" max="10972" width="11" style="66" customWidth="1"/>
    <col min="10973" max="10973" width="11.5703125" style="66" customWidth="1"/>
    <col min="10974" max="10974" width="11" style="66" customWidth="1"/>
    <col min="10975" max="10975" width="11.5703125" style="66" customWidth="1"/>
    <col min="10976" max="11223" width="9.140625" style="66"/>
    <col min="11224" max="11224" width="5.140625" style="66" customWidth="1"/>
    <col min="11225" max="11225" width="63.85546875" style="66" customWidth="1"/>
    <col min="11226" max="11227" width="0" style="66" hidden="1" customWidth="1"/>
    <col min="11228" max="11228" width="11" style="66" customWidth="1"/>
    <col min="11229" max="11229" width="11.5703125" style="66" customWidth="1"/>
    <col min="11230" max="11230" width="11" style="66" customWidth="1"/>
    <col min="11231" max="11231" width="11.5703125" style="66" customWidth="1"/>
    <col min="11232" max="11479" width="9.140625" style="66"/>
    <col min="11480" max="11480" width="5.140625" style="66" customWidth="1"/>
    <col min="11481" max="11481" width="63.85546875" style="66" customWidth="1"/>
    <col min="11482" max="11483" width="0" style="66" hidden="1" customWidth="1"/>
    <col min="11484" max="11484" width="11" style="66" customWidth="1"/>
    <col min="11485" max="11485" width="11.5703125" style="66" customWidth="1"/>
    <col min="11486" max="11486" width="11" style="66" customWidth="1"/>
    <col min="11487" max="11487" width="11.5703125" style="66" customWidth="1"/>
    <col min="11488" max="11735" width="9.140625" style="66"/>
    <col min="11736" max="11736" width="5.140625" style="66" customWidth="1"/>
    <col min="11737" max="11737" width="63.85546875" style="66" customWidth="1"/>
    <col min="11738" max="11739" width="0" style="66" hidden="1" customWidth="1"/>
    <col min="11740" max="11740" width="11" style="66" customWidth="1"/>
    <col min="11741" max="11741" width="11.5703125" style="66" customWidth="1"/>
    <col min="11742" max="11742" width="11" style="66" customWidth="1"/>
    <col min="11743" max="11743" width="11.5703125" style="66" customWidth="1"/>
    <col min="11744" max="11991" width="9.140625" style="66"/>
    <col min="11992" max="11992" width="5.140625" style="66" customWidth="1"/>
    <col min="11993" max="11993" width="63.85546875" style="66" customWidth="1"/>
    <col min="11994" max="11995" width="0" style="66" hidden="1" customWidth="1"/>
    <col min="11996" max="11996" width="11" style="66" customWidth="1"/>
    <col min="11997" max="11997" width="11.5703125" style="66" customWidth="1"/>
    <col min="11998" max="11998" width="11" style="66" customWidth="1"/>
    <col min="11999" max="11999" width="11.5703125" style="66" customWidth="1"/>
    <col min="12000" max="12247" width="9.140625" style="66"/>
    <col min="12248" max="12248" width="5.140625" style="66" customWidth="1"/>
    <col min="12249" max="12249" width="63.85546875" style="66" customWidth="1"/>
    <col min="12250" max="12251" width="0" style="66" hidden="1" customWidth="1"/>
    <col min="12252" max="12252" width="11" style="66" customWidth="1"/>
    <col min="12253" max="12253" width="11.5703125" style="66" customWidth="1"/>
    <col min="12254" max="12254" width="11" style="66" customWidth="1"/>
    <col min="12255" max="12255" width="11.5703125" style="66" customWidth="1"/>
    <col min="12256" max="12503" width="9.140625" style="66"/>
    <col min="12504" max="12504" width="5.140625" style="66" customWidth="1"/>
    <col min="12505" max="12505" width="63.85546875" style="66" customWidth="1"/>
    <col min="12506" max="12507" width="0" style="66" hidden="1" customWidth="1"/>
    <col min="12508" max="12508" width="11" style="66" customWidth="1"/>
    <col min="12509" max="12509" width="11.5703125" style="66" customWidth="1"/>
    <col min="12510" max="12510" width="11" style="66" customWidth="1"/>
    <col min="12511" max="12511" width="11.5703125" style="66" customWidth="1"/>
    <col min="12512" max="12759" width="9.140625" style="66"/>
    <col min="12760" max="12760" width="5.140625" style="66" customWidth="1"/>
    <col min="12761" max="12761" width="63.85546875" style="66" customWidth="1"/>
    <col min="12762" max="12763" width="0" style="66" hidden="1" customWidth="1"/>
    <col min="12764" max="12764" width="11" style="66" customWidth="1"/>
    <col min="12765" max="12765" width="11.5703125" style="66" customWidth="1"/>
    <col min="12766" max="12766" width="11" style="66" customWidth="1"/>
    <col min="12767" max="12767" width="11.5703125" style="66" customWidth="1"/>
    <col min="12768" max="13015" width="9.140625" style="66"/>
    <col min="13016" max="13016" width="5.140625" style="66" customWidth="1"/>
    <col min="13017" max="13017" width="63.85546875" style="66" customWidth="1"/>
    <col min="13018" max="13019" width="0" style="66" hidden="1" customWidth="1"/>
    <col min="13020" max="13020" width="11" style="66" customWidth="1"/>
    <col min="13021" max="13021" width="11.5703125" style="66" customWidth="1"/>
    <col min="13022" max="13022" width="11" style="66" customWidth="1"/>
    <col min="13023" max="13023" width="11.5703125" style="66" customWidth="1"/>
    <col min="13024" max="13271" width="9.140625" style="66"/>
    <col min="13272" max="13272" width="5.140625" style="66" customWidth="1"/>
    <col min="13273" max="13273" width="63.85546875" style="66" customWidth="1"/>
    <col min="13274" max="13275" width="0" style="66" hidden="1" customWidth="1"/>
    <col min="13276" max="13276" width="11" style="66" customWidth="1"/>
    <col min="13277" max="13277" width="11.5703125" style="66" customWidth="1"/>
    <col min="13278" max="13278" width="11" style="66" customWidth="1"/>
    <col min="13279" max="13279" width="11.5703125" style="66" customWidth="1"/>
    <col min="13280" max="13527" width="9.140625" style="66"/>
    <col min="13528" max="13528" width="5.140625" style="66" customWidth="1"/>
    <col min="13529" max="13529" width="63.85546875" style="66" customWidth="1"/>
    <col min="13530" max="13531" width="0" style="66" hidden="1" customWidth="1"/>
    <col min="13532" max="13532" width="11" style="66" customWidth="1"/>
    <col min="13533" max="13533" width="11.5703125" style="66" customWidth="1"/>
    <col min="13534" max="13534" width="11" style="66" customWidth="1"/>
    <col min="13535" max="13535" width="11.5703125" style="66" customWidth="1"/>
    <col min="13536" max="13783" width="9.140625" style="66"/>
    <col min="13784" max="13784" width="5.140625" style="66" customWidth="1"/>
    <col min="13785" max="13785" width="63.85546875" style="66" customWidth="1"/>
    <col min="13786" max="13787" width="0" style="66" hidden="1" customWidth="1"/>
    <col min="13788" max="13788" width="11" style="66" customWidth="1"/>
    <col min="13789" max="13789" width="11.5703125" style="66" customWidth="1"/>
    <col min="13790" max="13790" width="11" style="66" customWidth="1"/>
    <col min="13791" max="13791" width="11.5703125" style="66" customWidth="1"/>
    <col min="13792" max="14039" width="9.140625" style="66"/>
    <col min="14040" max="14040" width="5.140625" style="66" customWidth="1"/>
    <col min="14041" max="14041" width="63.85546875" style="66" customWidth="1"/>
    <col min="14042" max="14043" width="0" style="66" hidden="1" customWidth="1"/>
    <col min="14044" max="14044" width="11" style="66" customWidth="1"/>
    <col min="14045" max="14045" width="11.5703125" style="66" customWidth="1"/>
    <col min="14046" max="14046" width="11" style="66" customWidth="1"/>
    <col min="14047" max="14047" width="11.5703125" style="66" customWidth="1"/>
    <col min="14048" max="14295" width="9.140625" style="66"/>
    <col min="14296" max="14296" width="5.140625" style="66" customWidth="1"/>
    <col min="14297" max="14297" width="63.85546875" style="66" customWidth="1"/>
    <col min="14298" max="14299" width="0" style="66" hidden="1" customWidth="1"/>
    <col min="14300" max="14300" width="11" style="66" customWidth="1"/>
    <col min="14301" max="14301" width="11.5703125" style="66" customWidth="1"/>
    <col min="14302" max="14302" width="11" style="66" customWidth="1"/>
    <col min="14303" max="14303" width="11.5703125" style="66" customWidth="1"/>
    <col min="14304" max="14551" width="9.140625" style="66"/>
    <col min="14552" max="14552" width="5.140625" style="66" customWidth="1"/>
    <col min="14553" max="14553" width="63.85546875" style="66" customWidth="1"/>
    <col min="14554" max="14555" width="0" style="66" hidden="1" customWidth="1"/>
    <col min="14556" max="14556" width="11" style="66" customWidth="1"/>
    <col min="14557" max="14557" width="11.5703125" style="66" customWidth="1"/>
    <col min="14558" max="14558" width="11" style="66" customWidth="1"/>
    <col min="14559" max="14559" width="11.5703125" style="66" customWidth="1"/>
    <col min="14560" max="14807" width="9.140625" style="66"/>
    <col min="14808" max="14808" width="5.140625" style="66" customWidth="1"/>
    <col min="14809" max="14809" width="63.85546875" style="66" customWidth="1"/>
    <col min="14810" max="14811" width="0" style="66" hidden="1" customWidth="1"/>
    <col min="14812" max="14812" width="11" style="66" customWidth="1"/>
    <col min="14813" max="14813" width="11.5703125" style="66" customWidth="1"/>
    <col min="14814" max="14814" width="11" style="66" customWidth="1"/>
    <col min="14815" max="14815" width="11.5703125" style="66" customWidth="1"/>
    <col min="14816" max="15063" width="9.140625" style="66"/>
    <col min="15064" max="15064" width="5.140625" style="66" customWidth="1"/>
    <col min="15065" max="15065" width="63.85546875" style="66" customWidth="1"/>
    <col min="15066" max="15067" width="0" style="66" hidden="1" customWidth="1"/>
    <col min="15068" max="15068" width="11" style="66" customWidth="1"/>
    <col min="15069" max="15069" width="11.5703125" style="66" customWidth="1"/>
    <col min="15070" max="15070" width="11" style="66" customWidth="1"/>
    <col min="15071" max="15071" width="11.5703125" style="66" customWidth="1"/>
    <col min="15072" max="15319" width="9.140625" style="66"/>
    <col min="15320" max="15320" width="5.140625" style="66" customWidth="1"/>
    <col min="15321" max="15321" width="63.85546875" style="66" customWidth="1"/>
    <col min="15322" max="15323" width="0" style="66" hidden="1" customWidth="1"/>
    <col min="15324" max="15324" width="11" style="66" customWidth="1"/>
    <col min="15325" max="15325" width="11.5703125" style="66" customWidth="1"/>
    <col min="15326" max="15326" width="11" style="66" customWidth="1"/>
    <col min="15327" max="15327" width="11.5703125" style="66" customWidth="1"/>
    <col min="15328" max="15575" width="9.140625" style="66"/>
    <col min="15576" max="15576" width="5.140625" style="66" customWidth="1"/>
    <col min="15577" max="15577" width="63.85546875" style="66" customWidth="1"/>
    <col min="15578" max="15579" width="0" style="66" hidden="1" customWidth="1"/>
    <col min="15580" max="15580" width="11" style="66" customWidth="1"/>
    <col min="15581" max="15581" width="11.5703125" style="66" customWidth="1"/>
    <col min="15582" max="15582" width="11" style="66" customWidth="1"/>
    <col min="15583" max="15583" width="11.5703125" style="66" customWidth="1"/>
    <col min="15584" max="15831" width="9.140625" style="66"/>
    <col min="15832" max="15832" width="5.140625" style="66" customWidth="1"/>
    <col min="15833" max="15833" width="63.85546875" style="66" customWidth="1"/>
    <col min="15834" max="15835" width="0" style="66" hidden="1" customWidth="1"/>
    <col min="15836" max="15836" width="11" style="66" customWidth="1"/>
    <col min="15837" max="15837" width="11.5703125" style="66" customWidth="1"/>
    <col min="15838" max="15838" width="11" style="66" customWidth="1"/>
    <col min="15839" max="15839" width="11.5703125" style="66" customWidth="1"/>
    <col min="15840" max="16087" width="9.140625" style="66"/>
    <col min="16088" max="16088" width="5.140625" style="66" customWidth="1"/>
    <col min="16089" max="16089" width="63.85546875" style="66" customWidth="1"/>
    <col min="16090" max="16091" width="0" style="66" hidden="1" customWidth="1"/>
    <col min="16092" max="16092" width="11" style="66" customWidth="1"/>
    <col min="16093" max="16093" width="11.5703125" style="66" customWidth="1"/>
    <col min="16094" max="16094" width="11" style="66" customWidth="1"/>
    <col min="16095" max="16095" width="11.5703125" style="66" customWidth="1"/>
    <col min="16096" max="16384" width="9.140625" style="66"/>
  </cols>
  <sheetData>
    <row r="1" spans="2:15" s="60" customFormat="1" ht="15" customHeight="1" x14ac:dyDescent="0.2">
      <c r="B1" s="59"/>
      <c r="E1" s="61"/>
      <c r="G1" s="61"/>
      <c r="I1" s="61"/>
      <c r="J1" s="101" t="s">
        <v>334</v>
      </c>
      <c r="K1" s="101"/>
    </row>
    <row r="2" spans="2:15" s="64" customForma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</row>
    <row r="3" spans="2:15" x14ac:dyDescent="0.2">
      <c r="B3" s="65" t="s">
        <v>335</v>
      </c>
      <c r="C3" s="65"/>
      <c r="D3" s="65"/>
      <c r="E3" s="65"/>
      <c r="F3" s="65"/>
      <c r="G3" s="65"/>
      <c r="H3" s="65"/>
      <c r="I3" s="65"/>
      <c r="J3" s="65"/>
      <c r="K3" s="65"/>
    </row>
    <row r="4" spans="2:15" x14ac:dyDescent="0.2">
      <c r="B4" s="65"/>
      <c r="C4" s="67"/>
      <c r="D4" s="67"/>
      <c r="E4" s="67"/>
      <c r="F4" s="67"/>
      <c r="G4" s="67"/>
      <c r="H4" s="67"/>
      <c r="I4" s="67"/>
      <c r="J4" s="67"/>
      <c r="K4" s="67"/>
    </row>
    <row r="5" spans="2:15" x14ac:dyDescent="0.2">
      <c r="B5" s="65" t="s">
        <v>336</v>
      </c>
      <c r="C5" s="65"/>
      <c r="D5" s="65"/>
      <c r="E5" s="65"/>
      <c r="F5" s="65"/>
      <c r="G5" s="65"/>
      <c r="H5" s="65"/>
      <c r="I5" s="65"/>
      <c r="J5" s="65"/>
      <c r="K5" s="65"/>
    </row>
    <row r="6" spans="2:15" x14ac:dyDescent="0.2">
      <c r="B6" s="65" t="s">
        <v>337</v>
      </c>
      <c r="C6" s="65"/>
      <c r="D6" s="65"/>
      <c r="E6" s="65"/>
      <c r="F6" s="65"/>
      <c r="G6" s="65"/>
      <c r="H6" s="65"/>
      <c r="I6" s="65"/>
      <c r="J6" s="65"/>
      <c r="K6" s="65"/>
    </row>
    <row r="7" spans="2:15" x14ac:dyDescent="0.2">
      <c r="B7" s="68"/>
      <c r="C7" s="69"/>
      <c r="D7" s="69"/>
      <c r="E7" s="69"/>
      <c r="F7" s="69"/>
      <c r="G7" s="69"/>
      <c r="H7" s="69"/>
      <c r="I7" s="69"/>
      <c r="J7" s="69"/>
      <c r="K7" s="69"/>
    </row>
    <row r="8" spans="2:15" s="71" customFormat="1" ht="21.75" customHeight="1" x14ac:dyDescent="0.2">
      <c r="B8" s="70" t="s">
        <v>338</v>
      </c>
      <c r="C8" s="70" t="s">
        <v>339</v>
      </c>
      <c r="D8" s="102">
        <v>44927</v>
      </c>
      <c r="E8" s="103"/>
      <c r="F8" s="102">
        <v>45108</v>
      </c>
      <c r="G8" s="103"/>
      <c r="H8" s="102">
        <v>45139</v>
      </c>
      <c r="I8" s="103"/>
      <c r="J8" s="102">
        <v>45261</v>
      </c>
      <c r="K8" s="103"/>
    </row>
    <row r="9" spans="2:15" s="71" customFormat="1" ht="10.5" hidden="1" customHeight="1" x14ac:dyDescent="0.2">
      <c r="B9" s="70"/>
      <c r="C9" s="70"/>
      <c r="D9" s="72"/>
      <c r="E9" s="73"/>
      <c r="F9" s="72"/>
      <c r="G9" s="73"/>
      <c r="H9" s="72"/>
      <c r="I9" s="73"/>
      <c r="J9" s="72"/>
      <c r="K9" s="73"/>
    </row>
    <row r="10" spans="2:15" s="77" customFormat="1" ht="60" customHeight="1" x14ac:dyDescent="0.2">
      <c r="B10" s="74"/>
      <c r="C10" s="75"/>
      <c r="D10" s="76" t="s">
        <v>340</v>
      </c>
      <c r="E10" s="76" t="s">
        <v>341</v>
      </c>
      <c r="F10" s="76" t="s">
        <v>340</v>
      </c>
      <c r="G10" s="76" t="s">
        <v>341</v>
      </c>
      <c r="H10" s="76" t="s">
        <v>340</v>
      </c>
      <c r="I10" s="76" t="s">
        <v>341</v>
      </c>
      <c r="J10" s="76" t="s">
        <v>340</v>
      </c>
      <c r="K10" s="76" t="s">
        <v>341</v>
      </c>
    </row>
    <row r="11" spans="2:15" ht="15.75" customHeight="1" x14ac:dyDescent="0.2">
      <c r="B11" s="78"/>
      <c r="C11" s="79"/>
      <c r="D11" s="80"/>
      <c r="E11" s="80"/>
      <c r="F11" s="80"/>
      <c r="G11" s="80"/>
      <c r="H11" s="80"/>
      <c r="I11" s="80"/>
      <c r="J11" s="80"/>
      <c r="K11" s="80"/>
    </row>
    <row r="12" spans="2:15" s="77" customFormat="1" ht="15.75" customHeight="1" x14ac:dyDescent="0.2">
      <c r="B12" s="74"/>
      <c r="C12" s="81" t="s">
        <v>342</v>
      </c>
      <c r="D12" s="82"/>
      <c r="E12" s="82"/>
      <c r="F12" s="82"/>
      <c r="G12" s="82"/>
      <c r="H12" s="82"/>
      <c r="I12" s="82"/>
      <c r="J12" s="82"/>
      <c r="K12" s="82"/>
    </row>
    <row r="13" spans="2:15" ht="15.75" customHeight="1" x14ac:dyDescent="0.2">
      <c r="B13" s="78"/>
      <c r="C13" s="83"/>
      <c r="D13" s="80"/>
      <c r="E13" s="80"/>
      <c r="F13" s="80"/>
      <c r="G13" s="80"/>
      <c r="H13" s="80"/>
      <c r="I13" s="80"/>
      <c r="J13" s="80"/>
      <c r="K13" s="80"/>
    </row>
    <row r="14" spans="2:15" s="77" customFormat="1" ht="15.75" customHeight="1" x14ac:dyDescent="0.2">
      <c r="B14" s="74" t="s">
        <v>343</v>
      </c>
      <c r="C14" s="81" t="s">
        <v>344</v>
      </c>
      <c r="D14" s="82">
        <f>57+70+24+5</f>
        <v>156</v>
      </c>
      <c r="E14" s="82">
        <v>265987</v>
      </c>
      <c r="F14" s="82">
        <f>57+70+24+5</f>
        <v>156</v>
      </c>
      <c r="G14" s="82">
        <v>265987</v>
      </c>
      <c r="H14" s="82">
        <f>57+70+24+5</f>
        <v>156</v>
      </c>
      <c r="I14" s="82">
        <f>3592097/12</f>
        <v>299341.41666666669</v>
      </c>
      <c r="J14" s="82">
        <f>57+70+24+5</f>
        <v>156</v>
      </c>
      <c r="K14" s="82">
        <f>3592097/12</f>
        <v>299341.41666666669</v>
      </c>
      <c r="L14" s="84"/>
      <c r="M14" s="84"/>
      <c r="N14" s="84"/>
      <c r="O14" s="84"/>
    </row>
    <row r="15" spans="2:15" ht="15.75" customHeight="1" x14ac:dyDescent="0.2">
      <c r="B15" s="78"/>
      <c r="C15" s="83" t="s">
        <v>345</v>
      </c>
      <c r="D15" s="80"/>
      <c r="E15" s="80"/>
      <c r="F15" s="80"/>
      <c r="G15" s="80"/>
      <c r="H15" s="80"/>
      <c r="I15" s="80"/>
      <c r="J15" s="80"/>
      <c r="K15" s="80"/>
      <c r="L15" s="84"/>
      <c r="M15" s="84"/>
    </row>
    <row r="16" spans="2:15" ht="15.75" customHeight="1" x14ac:dyDescent="0.2">
      <c r="B16" s="78"/>
      <c r="C16" s="83" t="s">
        <v>346</v>
      </c>
      <c r="D16" s="80">
        <f>5</f>
        <v>5</v>
      </c>
      <c r="E16" s="80">
        <v>4220</v>
      </c>
      <c r="F16" s="80">
        <f>5</f>
        <v>5</v>
      </c>
      <c r="G16" s="80">
        <v>4220</v>
      </c>
      <c r="H16" s="80">
        <f>5</f>
        <v>5</v>
      </c>
      <c r="I16" s="80">
        <f>50535/12</f>
        <v>4211.25</v>
      </c>
      <c r="J16" s="80">
        <f>5</f>
        <v>5</v>
      </c>
      <c r="K16" s="80">
        <f>50535/12</f>
        <v>4211.25</v>
      </c>
      <c r="L16" s="84"/>
      <c r="M16" s="84"/>
    </row>
    <row r="17" spans="2:15" ht="15.75" customHeight="1" x14ac:dyDescent="0.2">
      <c r="B17" s="78"/>
      <c r="C17" s="83"/>
      <c r="D17" s="80"/>
      <c r="E17" s="80"/>
      <c r="F17" s="80"/>
      <c r="G17" s="80"/>
      <c r="H17" s="80"/>
      <c r="I17" s="80"/>
      <c r="J17" s="80"/>
      <c r="K17" s="80"/>
      <c r="L17" s="84"/>
      <c r="M17" s="84"/>
    </row>
    <row r="18" spans="2:15" s="77" customFormat="1" ht="15.75" customHeight="1" x14ac:dyDescent="0.2">
      <c r="B18" s="74" t="s">
        <v>347</v>
      </c>
      <c r="C18" s="81" t="s">
        <v>348</v>
      </c>
      <c r="D18" s="82">
        <f>1+5+6</f>
        <v>12</v>
      </c>
      <c r="E18" s="82">
        <v>13858</v>
      </c>
      <c r="F18" s="82">
        <f>1+5+6</f>
        <v>12</v>
      </c>
      <c r="G18" s="82">
        <v>13858</v>
      </c>
      <c r="H18" s="82">
        <f>1+5+6</f>
        <v>12</v>
      </c>
      <c r="I18" s="82">
        <v>13858</v>
      </c>
      <c r="J18" s="82">
        <f>1+5+6</f>
        <v>12</v>
      </c>
      <c r="K18" s="82">
        <v>13858</v>
      </c>
      <c r="L18" s="84"/>
      <c r="M18" s="84"/>
    </row>
    <row r="19" spans="2:15" ht="15.75" customHeight="1" x14ac:dyDescent="0.2">
      <c r="B19" s="78"/>
      <c r="C19" s="83" t="s">
        <v>345</v>
      </c>
      <c r="D19" s="80"/>
      <c r="E19" s="80"/>
      <c r="F19" s="80"/>
      <c r="G19" s="80"/>
      <c r="H19" s="80"/>
      <c r="I19" s="80"/>
      <c r="J19" s="80"/>
      <c r="K19" s="80"/>
      <c r="L19" s="84"/>
      <c r="M19" s="84"/>
    </row>
    <row r="20" spans="2:15" ht="15.75" customHeight="1" x14ac:dyDescent="0.2">
      <c r="B20" s="78"/>
      <c r="C20" s="83" t="s">
        <v>349</v>
      </c>
      <c r="D20" s="80">
        <v>6</v>
      </c>
      <c r="E20" s="80">
        <v>7068</v>
      </c>
      <c r="F20" s="80">
        <v>6</v>
      </c>
      <c r="G20" s="80">
        <v>7068</v>
      </c>
      <c r="H20" s="80">
        <v>6</v>
      </c>
      <c r="I20" s="80">
        <v>7068</v>
      </c>
      <c r="J20" s="80">
        <v>6</v>
      </c>
      <c r="K20" s="80">
        <v>7068</v>
      </c>
      <c r="L20" s="84"/>
      <c r="M20" s="84"/>
    </row>
    <row r="21" spans="2:15" ht="15.75" customHeight="1" x14ac:dyDescent="0.2">
      <c r="B21" s="78"/>
      <c r="C21" s="83"/>
      <c r="D21" s="80"/>
      <c r="E21" s="80"/>
      <c r="F21" s="80"/>
      <c r="G21" s="80"/>
      <c r="H21" s="80"/>
      <c r="I21" s="80"/>
      <c r="J21" s="80"/>
      <c r="K21" s="80"/>
      <c r="L21" s="84"/>
      <c r="M21" s="84"/>
    </row>
    <row r="22" spans="2:15" s="77" customFormat="1" ht="15.75" customHeight="1" x14ac:dyDescent="0.2">
      <c r="B22" s="74" t="s">
        <v>350</v>
      </c>
      <c r="C22" s="81" t="s">
        <v>351</v>
      </c>
      <c r="D22" s="82">
        <f t="shared" ref="D22:K22" si="0">D24+D25+D26</f>
        <v>237</v>
      </c>
      <c r="E22" s="82">
        <f t="shared" si="0"/>
        <v>380184</v>
      </c>
      <c r="F22" s="82">
        <f t="shared" si="0"/>
        <v>237</v>
      </c>
      <c r="G22" s="82">
        <f t="shared" si="0"/>
        <v>380184</v>
      </c>
      <c r="H22" s="82">
        <f t="shared" si="0"/>
        <v>237</v>
      </c>
      <c r="I22" s="82">
        <f t="shared" si="0"/>
        <v>405586.08333333337</v>
      </c>
      <c r="J22" s="82">
        <f t="shared" si="0"/>
        <v>237</v>
      </c>
      <c r="K22" s="82">
        <f t="shared" si="0"/>
        <v>405586.08333333337</v>
      </c>
      <c r="L22" s="84"/>
      <c r="M22" s="84"/>
    </row>
    <row r="23" spans="2:15" ht="15.75" customHeight="1" x14ac:dyDescent="0.2">
      <c r="B23" s="78"/>
      <c r="C23" s="83" t="s">
        <v>345</v>
      </c>
      <c r="D23" s="80"/>
      <c r="E23" s="80"/>
      <c r="F23" s="80"/>
      <c r="G23" s="80"/>
      <c r="H23" s="80"/>
      <c r="I23" s="80"/>
      <c r="J23" s="80"/>
      <c r="K23" s="80"/>
      <c r="L23" s="84"/>
      <c r="M23" s="84"/>
    </row>
    <row r="24" spans="2:15" ht="15.75" customHeight="1" x14ac:dyDescent="0.2">
      <c r="B24" s="78">
        <v>1</v>
      </c>
      <c r="C24" s="83" t="s">
        <v>352</v>
      </c>
      <c r="D24" s="80">
        <f>153+23</f>
        <v>176</v>
      </c>
      <c r="E24" s="80">
        <v>274582</v>
      </c>
      <c r="F24" s="80">
        <f>153+23</f>
        <v>176</v>
      </c>
      <c r="G24" s="80">
        <v>274582</v>
      </c>
      <c r="H24" s="80">
        <f>153+23</f>
        <v>176</v>
      </c>
      <c r="I24" s="80">
        <f>3521339/12</f>
        <v>293444.91666666669</v>
      </c>
      <c r="J24" s="80">
        <f>153+23</f>
        <v>176</v>
      </c>
      <c r="K24" s="80">
        <f>3521339/12</f>
        <v>293444.91666666669</v>
      </c>
      <c r="L24" s="84"/>
      <c r="M24" s="84"/>
    </row>
    <row r="25" spans="2:15" ht="15.75" customHeight="1" x14ac:dyDescent="0.2">
      <c r="B25" s="78">
        <v>2</v>
      </c>
      <c r="C25" s="83" t="s">
        <v>353</v>
      </c>
      <c r="D25" s="80">
        <v>52</v>
      </c>
      <c r="E25" s="80">
        <v>95665</v>
      </c>
      <c r="F25" s="80">
        <v>52</v>
      </c>
      <c r="G25" s="80">
        <v>95665</v>
      </c>
      <c r="H25" s="80">
        <v>52</v>
      </c>
      <c r="I25" s="80">
        <f>1226450/12</f>
        <v>102204.16666666667</v>
      </c>
      <c r="J25" s="80">
        <v>52</v>
      </c>
      <c r="K25" s="80">
        <f>1226450/12</f>
        <v>102204.16666666667</v>
      </c>
      <c r="L25" s="84"/>
      <c r="M25" s="84"/>
    </row>
    <row r="26" spans="2:15" ht="15.75" customHeight="1" x14ac:dyDescent="0.2">
      <c r="B26" s="78">
        <v>3</v>
      </c>
      <c r="C26" s="83" t="s">
        <v>354</v>
      </c>
      <c r="D26" s="80">
        <f>2+7</f>
        <v>9</v>
      </c>
      <c r="E26" s="80">
        <v>9937</v>
      </c>
      <c r="F26" s="80">
        <f>2+7</f>
        <v>9</v>
      </c>
      <c r="G26" s="80">
        <v>9937</v>
      </c>
      <c r="H26" s="80">
        <f>2+7</f>
        <v>9</v>
      </c>
      <c r="I26" s="80">
        <f>119244/12</f>
        <v>9937</v>
      </c>
      <c r="J26" s="80">
        <f>2+7</f>
        <v>9</v>
      </c>
      <c r="K26" s="80">
        <f>119244/12</f>
        <v>9937</v>
      </c>
      <c r="L26" s="84"/>
      <c r="M26" s="84"/>
    </row>
    <row r="27" spans="2:15" ht="15.75" customHeight="1" x14ac:dyDescent="0.2">
      <c r="B27" s="78"/>
      <c r="C27" s="83"/>
      <c r="D27" s="80"/>
      <c r="E27" s="80"/>
      <c r="F27" s="80"/>
      <c r="G27" s="80"/>
      <c r="H27" s="80"/>
      <c r="I27" s="80"/>
      <c r="J27" s="80"/>
      <c r="K27" s="80"/>
      <c r="L27" s="84"/>
      <c r="M27" s="84"/>
    </row>
    <row r="28" spans="2:15" s="77" customFormat="1" ht="15.75" customHeight="1" x14ac:dyDescent="0.2">
      <c r="B28" s="74" t="s">
        <v>355</v>
      </c>
      <c r="C28" s="81" t="s">
        <v>356</v>
      </c>
      <c r="D28" s="82">
        <v>390</v>
      </c>
      <c r="E28" s="82">
        <v>548667</v>
      </c>
      <c r="F28" s="82">
        <f>390-19-3+82</f>
        <v>450</v>
      </c>
      <c r="G28" s="82">
        <f>548667+22566+18230+49318+14303</f>
        <v>653084</v>
      </c>
      <c r="H28" s="82">
        <f>390-19-3+82+2</f>
        <v>452</v>
      </c>
      <c r="I28" s="82">
        <f>(548667+22566+18230+49318+14303)*110%</f>
        <v>718392.4</v>
      </c>
      <c r="J28" s="82">
        <f>390-19-3+82+2+80+13</f>
        <v>545</v>
      </c>
      <c r="K28" s="82">
        <f>(548667+22566+18230+49318+14303)*110%+96911+16981</f>
        <v>832284.4</v>
      </c>
      <c r="L28" s="84"/>
      <c r="M28" s="84"/>
      <c r="O28" s="84"/>
    </row>
    <row r="29" spans="2:15" ht="15.75" customHeight="1" x14ac:dyDescent="0.2">
      <c r="B29" s="78"/>
      <c r="C29" s="83"/>
      <c r="D29" s="80"/>
      <c r="E29" s="80"/>
      <c r="F29" s="80"/>
      <c r="G29" s="80"/>
      <c r="H29" s="80"/>
      <c r="I29" s="80"/>
      <c r="J29" s="80"/>
      <c r="K29" s="80"/>
      <c r="L29" s="84"/>
      <c r="M29" s="84"/>
    </row>
    <row r="30" spans="2:15" s="77" customFormat="1" ht="15.75" customHeight="1" x14ac:dyDescent="0.2">
      <c r="B30" s="74" t="s">
        <v>357</v>
      </c>
      <c r="C30" s="81" t="s">
        <v>358</v>
      </c>
      <c r="D30" s="82">
        <f>127+13+50</f>
        <v>190</v>
      </c>
      <c r="E30" s="82">
        <v>285827</v>
      </c>
      <c r="F30" s="82">
        <f>127+13+50+1</f>
        <v>191</v>
      </c>
      <c r="G30" s="82">
        <v>285827</v>
      </c>
      <c r="H30" s="82">
        <f>127+13+50+1</f>
        <v>191</v>
      </c>
      <c r="I30" s="82">
        <f>285827*110%</f>
        <v>314409.7</v>
      </c>
      <c r="J30" s="82">
        <f>127+13+50+1</f>
        <v>191</v>
      </c>
      <c r="K30" s="82">
        <f>285827*110%</f>
        <v>314409.7</v>
      </c>
      <c r="L30" s="84"/>
      <c r="M30" s="84"/>
    </row>
    <row r="31" spans="2:15" ht="15.75" customHeight="1" x14ac:dyDescent="0.2">
      <c r="B31" s="78"/>
      <c r="C31" s="83"/>
      <c r="D31" s="80"/>
      <c r="E31" s="80"/>
      <c r="F31" s="80"/>
      <c r="G31" s="80"/>
      <c r="H31" s="80"/>
      <c r="I31" s="80"/>
      <c r="J31" s="80"/>
      <c r="K31" s="80"/>
      <c r="L31" s="84"/>
      <c r="M31" s="84"/>
    </row>
    <row r="32" spans="2:15" ht="15.75" customHeight="1" x14ac:dyDescent="0.2">
      <c r="B32" s="78"/>
      <c r="C32" s="83"/>
      <c r="D32" s="80"/>
      <c r="E32" s="80"/>
      <c r="F32" s="80"/>
      <c r="G32" s="80"/>
      <c r="H32" s="80"/>
      <c r="I32" s="80"/>
      <c r="J32" s="80"/>
      <c r="K32" s="80"/>
      <c r="L32" s="84"/>
      <c r="M32" s="84"/>
    </row>
    <row r="33" spans="2:13" s="77" customFormat="1" ht="15.75" customHeight="1" x14ac:dyDescent="0.2">
      <c r="B33" s="74"/>
      <c r="C33" s="81" t="s">
        <v>359</v>
      </c>
      <c r="D33" s="82"/>
      <c r="E33" s="82"/>
      <c r="F33" s="82"/>
      <c r="G33" s="82"/>
      <c r="H33" s="82"/>
      <c r="I33" s="82"/>
      <c r="J33" s="82"/>
      <c r="K33" s="82"/>
      <c r="L33" s="84"/>
      <c r="M33" s="84"/>
    </row>
    <row r="34" spans="2:13" s="77" customFormat="1" ht="15.75" customHeight="1" x14ac:dyDescent="0.2">
      <c r="B34" s="74" t="s">
        <v>343</v>
      </c>
      <c r="C34" s="81" t="s">
        <v>344</v>
      </c>
      <c r="D34" s="82">
        <f>1+4+36</f>
        <v>41</v>
      </c>
      <c r="E34" s="82">
        <f>645874/12</f>
        <v>53822.833333333336</v>
      </c>
      <c r="F34" s="82">
        <f>1+4+36</f>
        <v>41</v>
      </c>
      <c r="G34" s="82">
        <f>645874/12</f>
        <v>53822.833333333336</v>
      </c>
      <c r="H34" s="82">
        <f>1+4+36</f>
        <v>41</v>
      </c>
      <c r="I34" s="82">
        <f>615693/12</f>
        <v>51307.75</v>
      </c>
      <c r="J34" s="82">
        <f>1+4+36</f>
        <v>41</v>
      </c>
      <c r="K34" s="82">
        <f>615693/12</f>
        <v>51307.75</v>
      </c>
      <c r="L34" s="84"/>
      <c r="M34" s="84"/>
    </row>
    <row r="35" spans="2:13" ht="15.75" customHeight="1" x14ac:dyDescent="0.2">
      <c r="B35" s="78"/>
      <c r="C35" s="83" t="s">
        <v>360</v>
      </c>
      <c r="D35" s="80"/>
      <c r="E35" s="80"/>
      <c r="F35" s="80"/>
      <c r="G35" s="80"/>
      <c r="H35" s="80"/>
      <c r="I35" s="80"/>
      <c r="J35" s="80"/>
      <c r="K35" s="80"/>
      <c r="L35" s="84"/>
      <c r="M35" s="84"/>
    </row>
    <row r="36" spans="2:13" ht="15.75" customHeight="1" x14ac:dyDescent="0.2">
      <c r="B36" s="78"/>
      <c r="C36" s="83" t="s">
        <v>361</v>
      </c>
      <c r="D36" s="80">
        <v>36</v>
      </c>
      <c r="E36" s="80">
        <v>40000</v>
      </c>
      <c r="F36" s="80">
        <v>36</v>
      </c>
      <c r="G36" s="80">
        <v>40000</v>
      </c>
      <c r="H36" s="80">
        <v>36</v>
      </c>
      <c r="I36" s="80">
        <f>40000*110%</f>
        <v>44000</v>
      </c>
      <c r="J36" s="80">
        <v>36</v>
      </c>
      <c r="K36" s="80">
        <f>40000*110%</f>
        <v>44000</v>
      </c>
      <c r="L36" s="84"/>
      <c r="M36" s="84"/>
    </row>
    <row r="37" spans="2:13" s="77" customFormat="1" ht="15.75" customHeight="1" x14ac:dyDescent="0.2">
      <c r="B37" s="74" t="s">
        <v>362</v>
      </c>
      <c r="C37" s="81" t="s">
        <v>363</v>
      </c>
      <c r="D37" s="82">
        <v>16</v>
      </c>
      <c r="E37" s="82">
        <v>23313</v>
      </c>
      <c r="F37" s="82">
        <v>16</v>
      </c>
      <c r="G37" s="82">
        <v>23313</v>
      </c>
      <c r="H37" s="82">
        <v>16</v>
      </c>
      <c r="I37" s="82">
        <f>263511/12</f>
        <v>21959.25</v>
      </c>
      <c r="J37" s="82">
        <v>16</v>
      </c>
      <c r="K37" s="82">
        <f>263511/12</f>
        <v>21959.25</v>
      </c>
      <c r="L37" s="84"/>
      <c r="M37" s="84"/>
    </row>
    <row r="38" spans="2:13" s="77" customFormat="1" ht="15.75" customHeight="1" x14ac:dyDescent="0.2">
      <c r="B38" s="74" t="s">
        <v>364</v>
      </c>
      <c r="C38" s="81" t="s">
        <v>356</v>
      </c>
      <c r="D38" s="82">
        <f>50+55+16</f>
        <v>121</v>
      </c>
      <c r="E38" s="82">
        <v>128523</v>
      </c>
      <c r="F38" s="82">
        <f>50+55+16</f>
        <v>121</v>
      </c>
      <c r="G38" s="82">
        <v>128523</v>
      </c>
      <c r="H38" s="82">
        <f>50+55+16</f>
        <v>121</v>
      </c>
      <c r="I38" s="82">
        <f>1557631/12</f>
        <v>129802.58333333333</v>
      </c>
      <c r="J38" s="82">
        <f>50+55+16</f>
        <v>121</v>
      </c>
      <c r="K38" s="82">
        <f>1557631/12</f>
        <v>129802.58333333333</v>
      </c>
      <c r="L38" s="84"/>
      <c r="M38" s="84"/>
    </row>
    <row r="39" spans="2:13" s="77" customFormat="1" ht="15.75" customHeight="1" x14ac:dyDescent="0.2">
      <c r="B39" s="74"/>
      <c r="C39" s="81"/>
      <c r="D39" s="82"/>
      <c r="E39" s="82"/>
      <c r="F39" s="82"/>
      <c r="G39" s="82"/>
      <c r="H39" s="82"/>
      <c r="I39" s="82"/>
      <c r="J39" s="82"/>
      <c r="K39" s="82"/>
      <c r="L39" s="84"/>
      <c r="M39" s="84"/>
    </row>
    <row r="40" spans="2:13" s="77" customFormat="1" ht="15.75" customHeight="1" x14ac:dyDescent="0.2">
      <c r="B40" s="74" t="s">
        <v>355</v>
      </c>
      <c r="C40" s="81" t="s">
        <v>365</v>
      </c>
      <c r="D40" s="82">
        <v>275</v>
      </c>
      <c r="E40" s="82">
        <v>287392</v>
      </c>
      <c r="F40" s="82">
        <v>275</v>
      </c>
      <c r="G40" s="82">
        <v>287392</v>
      </c>
      <c r="H40" s="82">
        <f>275+1</f>
        <v>276</v>
      </c>
      <c r="I40" s="82">
        <f>287392</f>
        <v>287392</v>
      </c>
      <c r="J40" s="82">
        <f>275+1</f>
        <v>276</v>
      </c>
      <c r="K40" s="82">
        <f>287392</f>
        <v>287392</v>
      </c>
      <c r="L40" s="84"/>
      <c r="M40" s="84"/>
    </row>
    <row r="41" spans="2:13" ht="15.75" customHeight="1" x14ac:dyDescent="0.2">
      <c r="B41" s="78"/>
      <c r="C41" s="83"/>
      <c r="D41" s="80"/>
      <c r="E41" s="80"/>
      <c r="F41" s="80"/>
      <c r="G41" s="80"/>
      <c r="H41" s="80"/>
      <c r="I41" s="80"/>
      <c r="J41" s="80"/>
      <c r="K41" s="80"/>
      <c r="L41" s="84"/>
      <c r="M41" s="84"/>
    </row>
    <row r="42" spans="2:13" s="77" customFormat="1" ht="15.75" customHeight="1" x14ac:dyDescent="0.2">
      <c r="B42" s="74" t="s">
        <v>357</v>
      </c>
      <c r="C42" s="81" t="s">
        <v>366</v>
      </c>
      <c r="D42" s="82">
        <f t="shared" ref="D42:K42" si="1">SUM(D44,D48)</f>
        <v>110</v>
      </c>
      <c r="E42" s="82">
        <f t="shared" si="1"/>
        <v>120560</v>
      </c>
      <c r="F42" s="82">
        <f t="shared" si="1"/>
        <v>110</v>
      </c>
      <c r="G42" s="82">
        <f t="shared" si="1"/>
        <v>120560</v>
      </c>
      <c r="H42" s="82">
        <f t="shared" si="1"/>
        <v>110</v>
      </c>
      <c r="I42" s="82">
        <f t="shared" si="1"/>
        <v>119631.16666666667</v>
      </c>
      <c r="J42" s="82">
        <f t="shared" si="1"/>
        <v>110</v>
      </c>
      <c r="K42" s="82">
        <f t="shared" si="1"/>
        <v>119631.16666666667</v>
      </c>
      <c r="L42" s="84"/>
      <c r="M42" s="84"/>
    </row>
    <row r="43" spans="2:13" ht="15.75" customHeight="1" x14ac:dyDescent="0.2">
      <c r="B43" s="78"/>
      <c r="C43" s="83"/>
      <c r="D43" s="80"/>
      <c r="E43" s="80"/>
      <c r="F43" s="80"/>
      <c r="G43" s="80"/>
      <c r="H43" s="80"/>
      <c r="I43" s="80"/>
      <c r="J43" s="80"/>
      <c r="K43" s="80"/>
      <c r="L43" s="84"/>
      <c r="M43" s="84"/>
    </row>
    <row r="44" spans="2:13" ht="15.75" customHeight="1" x14ac:dyDescent="0.2">
      <c r="B44" s="78">
        <v>1</v>
      </c>
      <c r="C44" s="83" t="s">
        <v>367</v>
      </c>
      <c r="D44" s="80">
        <f t="shared" ref="D44:I44" si="2">SUM(D45:D47)</f>
        <v>27</v>
      </c>
      <c r="E44" s="80">
        <f t="shared" si="2"/>
        <v>33362</v>
      </c>
      <c r="F44" s="80">
        <f t="shared" si="2"/>
        <v>27</v>
      </c>
      <c r="G44" s="80">
        <f t="shared" si="2"/>
        <v>33362</v>
      </c>
      <c r="H44" s="80">
        <f t="shared" si="2"/>
        <v>27</v>
      </c>
      <c r="I44" s="80">
        <f t="shared" si="2"/>
        <v>33730.666666666672</v>
      </c>
      <c r="J44" s="80">
        <f t="shared" ref="J44:K44" si="3">SUM(J45:J47)</f>
        <v>27</v>
      </c>
      <c r="K44" s="80">
        <f t="shared" si="3"/>
        <v>33730.666666666672</v>
      </c>
      <c r="L44" s="84"/>
      <c r="M44" s="84"/>
    </row>
    <row r="45" spans="2:13" ht="15.75" customHeight="1" x14ac:dyDescent="0.2">
      <c r="B45" s="78" t="s">
        <v>368</v>
      </c>
      <c r="C45" s="83" t="s">
        <v>369</v>
      </c>
      <c r="D45" s="80">
        <v>7</v>
      </c>
      <c r="E45" s="80">
        <v>8348</v>
      </c>
      <c r="F45" s="80">
        <v>7</v>
      </c>
      <c r="G45" s="80">
        <v>8348</v>
      </c>
      <c r="H45" s="80">
        <v>7</v>
      </c>
      <c r="I45" s="80">
        <f>100060/12</f>
        <v>8338.3333333333339</v>
      </c>
      <c r="J45" s="80">
        <v>7</v>
      </c>
      <c r="K45" s="80">
        <f>100060/12</f>
        <v>8338.3333333333339</v>
      </c>
      <c r="L45" s="84"/>
      <c r="M45" s="84"/>
    </row>
    <row r="46" spans="2:13" ht="15.75" customHeight="1" x14ac:dyDescent="0.2">
      <c r="B46" s="78" t="s">
        <v>370</v>
      </c>
      <c r="C46" s="83" t="s">
        <v>371</v>
      </c>
      <c r="D46" s="80">
        <v>18</v>
      </c>
      <c r="E46" s="80">
        <v>23064</v>
      </c>
      <c r="F46" s="80">
        <v>18</v>
      </c>
      <c r="G46" s="80">
        <v>23064</v>
      </c>
      <c r="H46" s="80">
        <v>18</v>
      </c>
      <c r="I46" s="80">
        <f>279915/12</f>
        <v>23326.25</v>
      </c>
      <c r="J46" s="80">
        <v>18</v>
      </c>
      <c r="K46" s="80">
        <f>279915/12</f>
        <v>23326.25</v>
      </c>
      <c r="L46" s="84"/>
      <c r="M46" s="84"/>
    </row>
    <row r="47" spans="2:13" ht="15.75" customHeight="1" x14ac:dyDescent="0.2">
      <c r="B47" s="78" t="s">
        <v>372</v>
      </c>
      <c r="C47" s="83" t="s">
        <v>373</v>
      </c>
      <c r="D47" s="80">
        <v>2</v>
      </c>
      <c r="E47" s="80">
        <v>1950</v>
      </c>
      <c r="F47" s="80">
        <v>2</v>
      </c>
      <c r="G47" s="80">
        <v>1950</v>
      </c>
      <c r="H47" s="80">
        <v>2</v>
      </c>
      <c r="I47" s="80">
        <f>24793/12</f>
        <v>2066.0833333333335</v>
      </c>
      <c r="J47" s="80">
        <v>2</v>
      </c>
      <c r="K47" s="80">
        <f>24793/12</f>
        <v>2066.0833333333335</v>
      </c>
      <c r="L47" s="84"/>
      <c r="M47" s="84"/>
    </row>
    <row r="48" spans="2:13" ht="15.75" customHeight="1" x14ac:dyDescent="0.2">
      <c r="B48" s="78">
        <v>2</v>
      </c>
      <c r="C48" s="83" t="s">
        <v>374</v>
      </c>
      <c r="D48" s="80">
        <f t="shared" ref="D48:K48" si="4">SUM(D49:D52)</f>
        <v>83</v>
      </c>
      <c r="E48" s="80">
        <f t="shared" si="4"/>
        <v>87198</v>
      </c>
      <c r="F48" s="80">
        <f t="shared" si="4"/>
        <v>83</v>
      </c>
      <c r="G48" s="80">
        <f t="shared" si="4"/>
        <v>87198</v>
      </c>
      <c r="H48" s="80">
        <f t="shared" si="4"/>
        <v>83</v>
      </c>
      <c r="I48" s="80">
        <f t="shared" si="4"/>
        <v>85900.5</v>
      </c>
      <c r="J48" s="80">
        <f t="shared" si="4"/>
        <v>83</v>
      </c>
      <c r="K48" s="80">
        <f t="shared" si="4"/>
        <v>85900.5</v>
      </c>
      <c r="L48" s="84"/>
      <c r="M48" s="84"/>
    </row>
    <row r="49" spans="2:13" ht="15.75" customHeight="1" x14ac:dyDescent="0.2">
      <c r="B49" s="78" t="s">
        <v>375</v>
      </c>
      <c r="C49" s="83" t="s">
        <v>376</v>
      </c>
      <c r="D49" s="80">
        <v>28</v>
      </c>
      <c r="E49" s="80">
        <v>27338</v>
      </c>
      <c r="F49" s="80">
        <v>28</v>
      </c>
      <c r="G49" s="80">
        <v>27338</v>
      </c>
      <c r="H49" s="80">
        <v>28</v>
      </c>
      <c r="I49" s="80">
        <f>315000/12</f>
        <v>26250</v>
      </c>
      <c r="J49" s="80">
        <v>28</v>
      </c>
      <c r="K49" s="80">
        <f>315000/12</f>
        <v>26250</v>
      </c>
      <c r="L49" s="84"/>
      <c r="M49" s="84"/>
    </row>
    <row r="50" spans="2:13" ht="15.75" customHeight="1" x14ac:dyDescent="0.2">
      <c r="B50" s="78" t="s">
        <v>377</v>
      </c>
      <c r="C50" s="83" t="s">
        <v>378</v>
      </c>
      <c r="D50" s="80">
        <v>18</v>
      </c>
      <c r="E50" s="80">
        <v>19313</v>
      </c>
      <c r="F50" s="80">
        <v>18</v>
      </c>
      <c r="G50" s="80">
        <v>19313</v>
      </c>
      <c r="H50" s="80">
        <v>18</v>
      </c>
      <c r="I50" s="80">
        <f>226836/12</f>
        <v>18903</v>
      </c>
      <c r="J50" s="80">
        <v>18</v>
      </c>
      <c r="K50" s="80">
        <f>226836/12</f>
        <v>18903</v>
      </c>
      <c r="L50" s="84"/>
      <c r="M50" s="84"/>
    </row>
    <row r="51" spans="2:13" ht="15.75" customHeight="1" x14ac:dyDescent="0.2">
      <c r="B51" s="78" t="s">
        <v>379</v>
      </c>
      <c r="C51" s="83" t="s">
        <v>380</v>
      </c>
      <c r="D51" s="80">
        <v>19</v>
      </c>
      <c r="E51" s="80">
        <v>20961</v>
      </c>
      <c r="F51" s="80">
        <v>19</v>
      </c>
      <c r="G51" s="80">
        <v>20961</v>
      </c>
      <c r="H51" s="80">
        <v>19</v>
      </c>
      <c r="I51" s="80">
        <f>267510/12</f>
        <v>22292.5</v>
      </c>
      <c r="J51" s="80">
        <v>19</v>
      </c>
      <c r="K51" s="80">
        <f>267510/12</f>
        <v>22292.5</v>
      </c>
      <c r="L51" s="84"/>
      <c r="M51" s="84"/>
    </row>
    <row r="52" spans="2:13" ht="15.75" customHeight="1" x14ac:dyDescent="0.2">
      <c r="B52" s="78" t="s">
        <v>381</v>
      </c>
      <c r="C52" s="83" t="s">
        <v>382</v>
      </c>
      <c r="D52" s="80">
        <v>18</v>
      </c>
      <c r="E52" s="80">
        <v>19586</v>
      </c>
      <c r="F52" s="80">
        <v>18</v>
      </c>
      <c r="G52" s="80">
        <v>19586</v>
      </c>
      <c r="H52" s="80">
        <v>18</v>
      </c>
      <c r="I52" s="80">
        <f>221460/12</f>
        <v>18455</v>
      </c>
      <c r="J52" s="80">
        <v>18</v>
      </c>
      <c r="K52" s="80">
        <f>221460/12</f>
        <v>18455</v>
      </c>
      <c r="L52" s="84"/>
      <c r="M52" s="84"/>
    </row>
    <row r="53" spans="2:13" ht="15.75" customHeight="1" x14ac:dyDescent="0.2">
      <c r="B53" s="78"/>
      <c r="C53" s="83"/>
      <c r="D53" s="80"/>
      <c r="E53" s="80"/>
      <c r="F53" s="80"/>
      <c r="G53" s="80"/>
      <c r="H53" s="80"/>
      <c r="I53" s="80"/>
      <c r="J53" s="80"/>
      <c r="K53" s="80"/>
      <c r="L53" s="84"/>
      <c r="M53" s="84"/>
    </row>
    <row r="54" spans="2:13" s="77" customFormat="1" ht="15.75" customHeight="1" x14ac:dyDescent="0.2">
      <c r="B54" s="74" t="s">
        <v>383</v>
      </c>
      <c r="C54" s="81" t="s">
        <v>384</v>
      </c>
      <c r="D54" s="82">
        <f t="shared" ref="D54:K54" si="5">SUM(D55,D57)</f>
        <v>57</v>
      </c>
      <c r="E54" s="82">
        <f t="shared" si="5"/>
        <v>74215</v>
      </c>
      <c r="F54" s="82">
        <f t="shared" si="5"/>
        <v>57</v>
      </c>
      <c r="G54" s="82">
        <f t="shared" si="5"/>
        <v>74215</v>
      </c>
      <c r="H54" s="82">
        <f t="shared" si="5"/>
        <v>57</v>
      </c>
      <c r="I54" s="82">
        <f t="shared" si="5"/>
        <v>75815.083333333343</v>
      </c>
      <c r="J54" s="82">
        <f t="shared" si="5"/>
        <v>57</v>
      </c>
      <c r="K54" s="82">
        <f t="shared" si="5"/>
        <v>75815.083333333343</v>
      </c>
      <c r="L54" s="84"/>
      <c r="M54" s="84"/>
    </row>
    <row r="55" spans="2:13" ht="15.75" customHeight="1" x14ac:dyDescent="0.2">
      <c r="B55" s="78">
        <v>1</v>
      </c>
      <c r="C55" s="83" t="s">
        <v>385</v>
      </c>
      <c r="D55" s="80">
        <f t="shared" ref="D55:K55" si="6">SUM(D56:D56)</f>
        <v>6</v>
      </c>
      <c r="E55" s="80">
        <f t="shared" si="6"/>
        <v>8792</v>
      </c>
      <c r="F55" s="80">
        <f t="shared" si="6"/>
        <v>6</v>
      </c>
      <c r="G55" s="80">
        <f t="shared" si="6"/>
        <v>8792</v>
      </c>
      <c r="H55" s="80">
        <f t="shared" si="6"/>
        <v>6</v>
      </c>
      <c r="I55" s="80">
        <f t="shared" si="6"/>
        <v>8518.6666666666661</v>
      </c>
      <c r="J55" s="80">
        <f t="shared" si="6"/>
        <v>6</v>
      </c>
      <c r="K55" s="80">
        <f t="shared" si="6"/>
        <v>8518.6666666666661</v>
      </c>
      <c r="L55" s="84"/>
      <c r="M55" s="84"/>
    </row>
    <row r="56" spans="2:13" ht="15.75" customHeight="1" x14ac:dyDescent="0.2">
      <c r="B56" s="78" t="s">
        <v>368</v>
      </c>
      <c r="C56" s="83" t="s">
        <v>386</v>
      </c>
      <c r="D56" s="80">
        <v>6</v>
      </c>
      <c r="E56" s="80">
        <v>8792</v>
      </c>
      <c r="F56" s="80">
        <v>6</v>
      </c>
      <c r="G56" s="80">
        <v>8792</v>
      </c>
      <c r="H56" s="80">
        <v>6</v>
      </c>
      <c r="I56" s="80">
        <f>102224/12</f>
        <v>8518.6666666666661</v>
      </c>
      <c r="J56" s="80">
        <v>6</v>
      </c>
      <c r="K56" s="80">
        <f>102224/12</f>
        <v>8518.6666666666661</v>
      </c>
      <c r="L56" s="84"/>
      <c r="M56" s="84"/>
    </row>
    <row r="57" spans="2:13" ht="15.75" customHeight="1" x14ac:dyDescent="0.2">
      <c r="B57" s="78">
        <v>2</v>
      </c>
      <c r="C57" s="83" t="s">
        <v>387</v>
      </c>
      <c r="D57" s="80">
        <f t="shared" ref="D57:K57" si="7">SUM(D58:D61)</f>
        <v>51</v>
      </c>
      <c r="E57" s="80">
        <f t="shared" si="7"/>
        <v>65423</v>
      </c>
      <c r="F57" s="80">
        <f t="shared" si="7"/>
        <v>51</v>
      </c>
      <c r="G57" s="80">
        <f t="shared" si="7"/>
        <v>65423</v>
      </c>
      <c r="H57" s="80">
        <f t="shared" si="7"/>
        <v>51</v>
      </c>
      <c r="I57" s="80">
        <f t="shared" si="7"/>
        <v>67296.416666666672</v>
      </c>
      <c r="J57" s="80">
        <f t="shared" si="7"/>
        <v>51</v>
      </c>
      <c r="K57" s="80">
        <f t="shared" si="7"/>
        <v>67296.416666666672</v>
      </c>
      <c r="L57" s="84"/>
      <c r="M57" s="84"/>
    </row>
    <row r="58" spans="2:13" ht="15.75" customHeight="1" x14ac:dyDescent="0.2">
      <c r="B58" s="78" t="s">
        <v>375</v>
      </c>
      <c r="C58" s="83" t="s">
        <v>388</v>
      </c>
      <c r="D58" s="80">
        <v>7</v>
      </c>
      <c r="E58" s="80">
        <v>9817</v>
      </c>
      <c r="F58" s="80">
        <v>7</v>
      </c>
      <c r="G58" s="80">
        <v>9817</v>
      </c>
      <c r="H58" s="80">
        <v>7</v>
      </c>
      <c r="I58" s="80">
        <f>135475/12</f>
        <v>11289.583333333334</v>
      </c>
      <c r="J58" s="80">
        <v>7</v>
      </c>
      <c r="K58" s="80">
        <f>135475/12</f>
        <v>11289.583333333334</v>
      </c>
      <c r="L58" s="84"/>
      <c r="M58" s="84"/>
    </row>
    <row r="59" spans="2:13" ht="15.75" customHeight="1" x14ac:dyDescent="0.2">
      <c r="B59" s="78" t="s">
        <v>377</v>
      </c>
      <c r="C59" s="83" t="s">
        <v>389</v>
      </c>
      <c r="D59" s="80">
        <v>19</v>
      </c>
      <c r="E59" s="80">
        <v>21999</v>
      </c>
      <c r="F59" s="80">
        <v>19</v>
      </c>
      <c r="G59" s="80">
        <v>21999</v>
      </c>
      <c r="H59" s="80">
        <v>19</v>
      </c>
      <c r="I59" s="80">
        <f>274542/12</f>
        <v>22878.5</v>
      </c>
      <c r="J59" s="80">
        <v>19</v>
      </c>
      <c r="K59" s="80">
        <f>274542/12</f>
        <v>22878.5</v>
      </c>
      <c r="L59" s="84"/>
      <c r="M59" s="84"/>
    </row>
    <row r="60" spans="2:13" ht="15.75" customHeight="1" x14ac:dyDescent="0.2">
      <c r="B60" s="78" t="s">
        <v>379</v>
      </c>
      <c r="C60" s="83" t="s">
        <v>390</v>
      </c>
      <c r="D60" s="80">
        <v>7</v>
      </c>
      <c r="E60" s="80">
        <v>11848</v>
      </c>
      <c r="F60" s="80">
        <v>7</v>
      </c>
      <c r="G60" s="80">
        <v>11848</v>
      </c>
      <c r="H60" s="80">
        <v>7</v>
      </c>
      <c r="I60" s="80">
        <f>137200/12</f>
        <v>11433.333333333334</v>
      </c>
      <c r="J60" s="80">
        <v>7</v>
      </c>
      <c r="K60" s="80">
        <f>137200/12</f>
        <v>11433.333333333334</v>
      </c>
      <c r="L60" s="84"/>
      <c r="M60" s="84"/>
    </row>
    <row r="61" spans="2:13" ht="15.75" customHeight="1" x14ac:dyDescent="0.2">
      <c r="B61" s="78" t="s">
        <v>381</v>
      </c>
      <c r="C61" s="83" t="s">
        <v>391</v>
      </c>
      <c r="D61" s="80">
        <v>18</v>
      </c>
      <c r="E61" s="80">
        <v>21759</v>
      </c>
      <c r="F61" s="80">
        <v>18</v>
      </c>
      <c r="G61" s="80">
        <v>21759</v>
      </c>
      <c r="H61" s="80">
        <v>18</v>
      </c>
      <c r="I61" s="80">
        <f>260340/12</f>
        <v>21695</v>
      </c>
      <c r="J61" s="80">
        <v>18</v>
      </c>
      <c r="K61" s="80">
        <f>260340/12</f>
        <v>21695</v>
      </c>
      <c r="L61" s="84"/>
      <c r="M61" s="84"/>
    </row>
    <row r="62" spans="2:13" s="77" customFormat="1" ht="15.75" customHeight="1" x14ac:dyDescent="0.2">
      <c r="B62" s="74"/>
      <c r="C62" s="81" t="s">
        <v>392</v>
      </c>
      <c r="D62" s="82"/>
      <c r="E62" s="82"/>
      <c r="F62" s="82"/>
      <c r="G62" s="82"/>
      <c r="H62" s="82"/>
      <c r="I62" s="82"/>
      <c r="J62" s="82"/>
      <c r="K62" s="82"/>
      <c r="L62" s="84"/>
      <c r="M62" s="84"/>
    </row>
    <row r="63" spans="2:13" s="77" customFormat="1" ht="15.75" customHeight="1" x14ac:dyDescent="0.2">
      <c r="B63" s="74" t="s">
        <v>343</v>
      </c>
      <c r="C63" s="81" t="s">
        <v>344</v>
      </c>
      <c r="D63" s="82">
        <v>146</v>
      </c>
      <c r="E63" s="82">
        <v>201613</v>
      </c>
      <c r="F63" s="82">
        <v>146</v>
      </c>
      <c r="G63" s="82">
        <v>201613</v>
      </c>
      <c r="H63" s="82">
        <v>146</v>
      </c>
      <c r="I63" s="82">
        <f>2763542/12</f>
        <v>230295.16666666666</v>
      </c>
      <c r="J63" s="82">
        <v>146</v>
      </c>
      <c r="K63" s="82">
        <f>2763542/12</f>
        <v>230295.16666666666</v>
      </c>
      <c r="L63" s="84"/>
      <c r="M63" s="84"/>
    </row>
    <row r="64" spans="2:13" s="77" customFormat="1" ht="15.75" customHeight="1" x14ac:dyDescent="0.2">
      <c r="B64" s="74" t="s">
        <v>362</v>
      </c>
      <c r="C64" s="81" t="s">
        <v>363</v>
      </c>
      <c r="D64" s="82">
        <v>1</v>
      </c>
      <c r="E64" s="82">
        <v>1632</v>
      </c>
      <c r="F64" s="82">
        <v>1</v>
      </c>
      <c r="G64" s="82">
        <v>1632</v>
      </c>
      <c r="H64" s="82">
        <v>1</v>
      </c>
      <c r="I64" s="82">
        <f>19579/12</f>
        <v>1631.5833333333333</v>
      </c>
      <c r="J64" s="82">
        <v>1</v>
      </c>
      <c r="K64" s="82">
        <f>19579/12</f>
        <v>1631.5833333333333</v>
      </c>
      <c r="L64" s="84"/>
      <c r="M64" s="84"/>
    </row>
    <row r="65" spans="2:13" s="77" customFormat="1" ht="15.75" customHeight="1" x14ac:dyDescent="0.2">
      <c r="B65" s="74" t="s">
        <v>393</v>
      </c>
      <c r="C65" s="81" t="s">
        <v>394</v>
      </c>
      <c r="D65" s="82">
        <f>2+8</f>
        <v>10</v>
      </c>
      <c r="E65" s="82">
        <v>17644</v>
      </c>
      <c r="F65" s="82">
        <f>2+8</f>
        <v>10</v>
      </c>
      <c r="G65" s="82">
        <v>17644</v>
      </c>
      <c r="H65" s="82">
        <f>2+8</f>
        <v>10</v>
      </c>
      <c r="I65" s="82">
        <f>17644*110%</f>
        <v>19408.400000000001</v>
      </c>
      <c r="J65" s="82">
        <f>2+8</f>
        <v>10</v>
      </c>
      <c r="K65" s="82">
        <f>17644*110%</f>
        <v>19408.400000000001</v>
      </c>
      <c r="L65" s="84"/>
      <c r="M65" s="84"/>
    </row>
    <row r="66" spans="2:13" s="77" customFormat="1" ht="15.75" customHeight="1" x14ac:dyDescent="0.2">
      <c r="B66" s="74"/>
      <c r="C66" s="81" t="s">
        <v>395</v>
      </c>
      <c r="D66" s="82"/>
      <c r="E66" s="82"/>
      <c r="F66" s="82"/>
      <c r="G66" s="82"/>
      <c r="H66" s="82"/>
      <c r="I66" s="82"/>
      <c r="J66" s="82"/>
      <c r="K66" s="82"/>
      <c r="L66" s="84"/>
      <c r="M66" s="84"/>
    </row>
    <row r="67" spans="2:13" ht="15.75" customHeight="1" x14ac:dyDescent="0.2">
      <c r="B67" s="78">
        <v>1</v>
      </c>
      <c r="C67" s="83" t="s">
        <v>396</v>
      </c>
      <c r="D67" s="80">
        <v>3</v>
      </c>
      <c r="E67" s="80">
        <v>2750</v>
      </c>
      <c r="F67" s="80">
        <v>3</v>
      </c>
      <c r="G67" s="80">
        <v>2750</v>
      </c>
      <c r="H67" s="80">
        <v>3</v>
      </c>
      <c r="I67" s="80">
        <f>33000/12</f>
        <v>2750</v>
      </c>
      <c r="J67" s="80">
        <v>3</v>
      </c>
      <c r="K67" s="80">
        <f>33000/12</f>
        <v>2750</v>
      </c>
      <c r="L67" s="84"/>
      <c r="M67" s="84"/>
    </row>
    <row r="68" spans="2:13" x14ac:dyDescent="0.2">
      <c r="L68" s="85"/>
      <c r="M68" s="85"/>
    </row>
    <row r="69" spans="2:13" x14ac:dyDescent="0.2">
      <c r="L69" s="85"/>
      <c r="M69" s="85"/>
    </row>
    <row r="70" spans="2:13" x14ac:dyDescent="0.2">
      <c r="B70" s="66" t="s">
        <v>397</v>
      </c>
      <c r="L70" s="85"/>
      <c r="M70" s="85"/>
    </row>
    <row r="71" spans="2:13" x14ac:dyDescent="0.2">
      <c r="L71" s="85"/>
      <c r="M71" s="85"/>
    </row>
    <row r="72" spans="2:13" x14ac:dyDescent="0.2">
      <c r="L72" s="85"/>
      <c r="M72" s="85"/>
    </row>
    <row r="74" spans="2:13" x14ac:dyDescent="0.2">
      <c r="B74" s="86" t="s">
        <v>1</v>
      </c>
    </row>
    <row r="75" spans="2:13" x14ac:dyDescent="0.2">
      <c r="B75" s="87" t="s">
        <v>2</v>
      </c>
      <c r="C75" s="88"/>
      <c r="D75" s="88"/>
      <c r="E75" s="88"/>
      <c r="F75" s="88"/>
      <c r="G75" s="88"/>
      <c r="H75" s="88"/>
      <c r="I75" s="88"/>
      <c r="J75" s="88"/>
      <c r="K75" s="88"/>
    </row>
    <row r="76" spans="2:13" s="64" customFormat="1" x14ac:dyDescent="0.2">
      <c r="B76" s="87"/>
      <c r="C76" s="89"/>
      <c r="D76" s="89"/>
      <c r="E76" s="89"/>
      <c r="F76" s="89"/>
      <c r="G76" s="89"/>
      <c r="H76" s="89"/>
      <c r="I76" s="89"/>
      <c r="J76" s="89"/>
      <c r="K76" s="89"/>
    </row>
    <row r="77" spans="2:13" s="91" customFormat="1" x14ac:dyDescent="0.2">
      <c r="B77" s="90"/>
    </row>
    <row r="78" spans="2:13" s="94" customFormat="1" x14ac:dyDescent="0.2">
      <c r="B78" s="92" t="s">
        <v>3</v>
      </c>
      <c r="C78" s="93"/>
      <c r="D78" s="93"/>
      <c r="E78" s="93"/>
      <c r="F78" s="93"/>
      <c r="G78" s="93"/>
      <c r="H78" s="93"/>
      <c r="I78" s="93"/>
      <c r="J78" s="93"/>
      <c r="K78" s="93"/>
    </row>
    <row r="79" spans="2:13" s="64" customFormat="1" x14ac:dyDescent="0.2">
      <c r="B79" s="92" t="s">
        <v>398</v>
      </c>
      <c r="C79" s="95"/>
      <c r="D79" s="95"/>
      <c r="E79" s="95"/>
      <c r="F79" s="95"/>
      <c r="G79" s="95"/>
      <c r="H79" s="95"/>
      <c r="I79" s="95"/>
      <c r="J79" s="95"/>
      <c r="K79" s="95"/>
    </row>
    <row r="80" spans="2:13" s="96" customFormat="1" x14ac:dyDescent="0.2">
      <c r="B80" s="92" t="s">
        <v>399</v>
      </c>
    </row>
    <row r="81" spans="2:2" s="96" customFormat="1" x14ac:dyDescent="0.2">
      <c r="B81" s="97"/>
    </row>
    <row r="82" spans="2:2" x14ac:dyDescent="0.2">
      <c r="B82" s="62"/>
    </row>
    <row r="83" spans="2:2" x14ac:dyDescent="0.2">
      <c r="B83" s="98"/>
    </row>
    <row r="84" spans="2:2" x14ac:dyDescent="0.2">
      <c r="B84" s="62"/>
    </row>
    <row r="85" spans="2:2" x14ac:dyDescent="0.2">
      <c r="B85" s="59"/>
    </row>
    <row r="86" spans="2:2" x14ac:dyDescent="0.2">
      <c r="B86" s="59"/>
    </row>
    <row r="87" spans="2:2" x14ac:dyDescent="0.2">
      <c r="B87" s="62"/>
    </row>
    <row r="88" spans="2:2" x14ac:dyDescent="0.2">
      <c r="B88" s="59"/>
    </row>
    <row r="89" spans="2:2" x14ac:dyDescent="0.2">
      <c r="B89" s="59"/>
    </row>
    <row r="90" spans="2:2" x14ac:dyDescent="0.2">
      <c r="B90" s="62"/>
    </row>
    <row r="91" spans="2:2" x14ac:dyDescent="0.2">
      <c r="B91" s="59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</sheetData>
  <mergeCells count="5">
    <mergeCell ref="J1:K1"/>
    <mergeCell ref="D8:E8"/>
    <mergeCell ref="F8:G8"/>
    <mergeCell ref="H8:I8"/>
    <mergeCell ref="J8:K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Прил 1 ИП </vt:lpstr>
      <vt:lpstr>Приложение 2</vt:lpstr>
      <vt:lpstr>'Приложение 2'!Област_печат</vt:lpstr>
      <vt:lpstr>'Прил 1 ИП '!Печат_заглавия</vt:lpstr>
      <vt:lpstr>'Приложение 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2023-11-16T08:19:05Z</cp:lastPrinted>
  <dcterms:created xsi:type="dcterms:W3CDTF">2023-11-16T07:41:21Z</dcterms:created>
  <dcterms:modified xsi:type="dcterms:W3CDTF">2023-11-17T13:31:45Z</dcterms:modified>
</cp:coreProperties>
</file>